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yco365-my.sharepoint.com/personal/leonardj_hpd_nyc_gov/Documents/$oldSdrive/Application breakdowns/"/>
    </mc:Choice>
  </mc:AlternateContent>
  <xr:revisionPtr revIDLastSave="0" documentId="8_{8F040F66-79E4-4CFD-8B41-0DBBFD565C2B}" xr6:coauthVersionLast="47" xr6:coauthVersionMax="47" xr10:uidLastSave="{00000000-0000-0000-0000-000000000000}"/>
  <workbookProtection workbookAlgorithmName="SHA-512" workbookHashValue="WUolnXaKrO39yGJs6okZ8qvWQrcWydan0E4zkK9NCNu4W1O/g3GmyJRs/mWzgAVo3K0tWUyAMjv3ZSjgd2cG3Q==" workbookSaltValue="hX5jFNdyXPOVp0AJYo+XfQ==" workbookSpinCount="100000" lockStructure="1"/>
  <bookViews>
    <workbookView xWindow="-120" yWindow="-120" windowWidth="29040" windowHeight="15720" tabRatio="880" xr2:uid="{00000000-000D-0000-FFFF-FFFF00000000}"/>
  </bookViews>
  <sheets>
    <sheet name="Claimed Costs" sheetId="2" r:id="rId1"/>
    <sheet name="Deleading Claim Detail" sheetId="27" r:id="rId2"/>
    <sheet name="Deleading Ref Sheet" sheetId="26" state="hidden" r:id="rId3"/>
    <sheet name="Rent Roll" sheetId="24" r:id="rId4"/>
    <sheet name="Co-op Condo Unit Table" sheetId="28" r:id="rId5"/>
    <sheet name="80% AMI Ref" sheetId="25" state="hidden" r:id="rId6"/>
    <sheet name="CRC DRAFT- 7.9.2020" sheetId="22" state="hidden" r:id="rId7"/>
  </sheets>
  <definedNames>
    <definedName name="_xlnm._FilterDatabase" localSheetId="0" hidden="1">'Claimed Costs'!$T$9:$U$177</definedName>
    <definedName name="BEN_CLASS">#REF!</definedName>
    <definedName name="CLAIM">'Claimed Costs'!$A$9:$N$177</definedName>
    <definedName name="CLAIM_DETCD">'Claimed Costs'!$B$9:$N$177</definedName>
    <definedName name="CLAIM_DTL">'Claimed Costs'!$A$9:$N$177</definedName>
    <definedName name="CRC">#REF!</definedName>
    <definedName name="_xlnm.Criteria" localSheetId="0">'Claimed Costs'!#REF!</definedName>
    <definedName name="DETCD">#REF!</definedName>
    <definedName name="ELV_QTY">#REF!</definedName>
    <definedName name="FNMA_LIMITS">#REF!</definedName>
    <definedName name="Item_Range">#REF!</definedName>
    <definedName name="ITEM_ROLLUP">#REF!</definedName>
    <definedName name="ITEMS">#REF!</definedName>
    <definedName name="J51_Calculator_Worksheet_Detail_CRC_List">#REF!</definedName>
    <definedName name="J51_Calculator_Worksheet_Project_List">#REF!</definedName>
    <definedName name="_xlnm.Print_Area" localSheetId="0">'Claimed Costs'!$A$1:$N$177</definedName>
    <definedName name="_xlnm.Print_Area" localSheetId="3">'Rent Roll'!$A$1:$L$253</definedName>
    <definedName name="_xlnm.Print_Titles" localSheetId="0">'Claimed Costs'!$1:$9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2" l="1"/>
  <c r="K12" i="2"/>
  <c r="K10" i="2"/>
  <c r="M177" i="2"/>
  <c r="M176" i="2"/>
  <c r="M175" i="2"/>
  <c r="M174" i="2"/>
  <c r="M173" i="2"/>
  <c r="M172" i="2"/>
  <c r="M171" i="2"/>
  <c r="M164" i="2"/>
  <c r="M160" i="2"/>
  <c r="M159" i="2"/>
  <c r="M158" i="2"/>
  <c r="M157" i="2"/>
  <c r="M156" i="2"/>
  <c r="M155" i="2"/>
  <c r="M154" i="2"/>
  <c r="M153" i="2"/>
  <c r="M152" i="2"/>
  <c r="M151" i="2"/>
  <c r="M141" i="2"/>
  <c r="M140" i="2"/>
  <c r="M139" i="2"/>
  <c r="M138" i="2"/>
  <c r="M137" i="2"/>
  <c r="M124" i="2"/>
  <c r="M113" i="2"/>
  <c r="M114" i="2"/>
  <c r="M115" i="2"/>
  <c r="M116" i="2"/>
  <c r="M117" i="2"/>
  <c r="M118" i="2"/>
  <c r="M119" i="2"/>
  <c r="M120" i="2"/>
  <c r="M121" i="2"/>
  <c r="M122" i="2"/>
  <c r="M123" i="2"/>
  <c r="M125" i="2"/>
  <c r="M126" i="2"/>
  <c r="M127" i="2"/>
  <c r="M128" i="2"/>
  <c r="M129" i="2"/>
  <c r="M130" i="2"/>
  <c r="M112" i="2"/>
  <c r="M75" i="2"/>
  <c r="M74" i="2"/>
  <c r="M73" i="2"/>
  <c r="M72" i="2"/>
  <c r="M71" i="2"/>
  <c r="M70" i="2"/>
  <c r="M69" i="2"/>
  <c r="M68" i="2"/>
  <c r="M67" i="2"/>
  <c r="M66" i="2"/>
  <c r="M65" i="2"/>
  <c r="M64" i="2"/>
  <c r="M58" i="2"/>
  <c r="M11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8" i="2"/>
  <c r="M49" i="2"/>
  <c r="M50" i="2"/>
  <c r="M51" i="2"/>
  <c r="M52" i="2"/>
  <c r="M53" i="2"/>
  <c r="M54" i="2"/>
  <c r="M55" i="2"/>
  <c r="M56" i="2"/>
  <c r="M57" i="2"/>
  <c r="L10" i="2"/>
  <c r="M10" i="2" s="1"/>
  <c r="M61" i="2" l="1"/>
  <c r="M168" i="2"/>
  <c r="M165" i="2"/>
  <c r="M161" i="2"/>
  <c r="M148" i="2"/>
  <c r="M145" i="2"/>
  <c r="M142" i="2"/>
  <c r="M134" i="2"/>
  <c r="M131" i="2"/>
  <c r="M109" i="2"/>
  <c r="M106" i="2"/>
  <c r="M103" i="2"/>
  <c r="M100" i="2"/>
  <c r="M97" i="2"/>
  <c r="M94" i="2"/>
  <c r="M91" i="2"/>
  <c r="M88" i="2"/>
  <c r="M85" i="2"/>
  <c r="M82" i="2"/>
  <c r="M79" i="2"/>
  <c r="L77" i="2"/>
  <c r="H77" i="2"/>
  <c r="U166" i="2"/>
  <c r="T170" i="2"/>
  <c r="T146" i="2"/>
  <c r="T143" i="2"/>
  <c r="T136" i="2"/>
  <c r="T135" i="2"/>
  <c r="U133" i="2"/>
  <c r="T108" i="2"/>
  <c r="T107" i="2"/>
  <c r="T96" i="2"/>
  <c r="U95" i="2"/>
  <c r="U93" i="2"/>
  <c r="T89" i="2"/>
  <c r="U87" i="2"/>
  <c r="U86" i="2"/>
  <c r="U83" i="2"/>
  <c r="T80" i="2"/>
  <c r="T12" i="2"/>
  <c r="T81" i="2"/>
  <c r="T99" i="2"/>
  <c r="U105" i="2"/>
  <c r="U111" i="2"/>
  <c r="U147" i="2"/>
  <c r="K11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9" i="2"/>
  <c r="K60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7" i="2"/>
  <c r="K78" i="2"/>
  <c r="K80" i="2"/>
  <c r="K81" i="2"/>
  <c r="K83" i="2"/>
  <c r="K84" i="2"/>
  <c r="K86" i="2"/>
  <c r="K87" i="2"/>
  <c r="K89" i="2"/>
  <c r="K90" i="2"/>
  <c r="K92" i="2"/>
  <c r="K93" i="2"/>
  <c r="K95" i="2"/>
  <c r="K96" i="2"/>
  <c r="K98" i="2"/>
  <c r="K99" i="2"/>
  <c r="K101" i="2"/>
  <c r="K102" i="2"/>
  <c r="K104" i="2"/>
  <c r="K105" i="2"/>
  <c r="K107" i="2"/>
  <c r="K108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2" i="2"/>
  <c r="K133" i="2"/>
  <c r="K135" i="2"/>
  <c r="K136" i="2"/>
  <c r="K137" i="2"/>
  <c r="K138" i="2"/>
  <c r="K139" i="2"/>
  <c r="K140" i="2"/>
  <c r="K141" i="2"/>
  <c r="K143" i="2"/>
  <c r="K144" i="2"/>
  <c r="K146" i="2"/>
  <c r="K147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2" i="2"/>
  <c r="K163" i="2"/>
  <c r="K164" i="2"/>
  <c r="K166" i="2"/>
  <c r="K167" i="2"/>
  <c r="K169" i="2"/>
  <c r="K170" i="2"/>
  <c r="K171" i="2"/>
  <c r="K172" i="2"/>
  <c r="K173" i="2"/>
  <c r="K174" i="2"/>
  <c r="K175" i="2"/>
  <c r="K176" i="2"/>
  <c r="K177" i="2"/>
  <c r="H74" i="2"/>
  <c r="H75" i="2"/>
  <c r="H78" i="2"/>
  <c r="H80" i="2"/>
  <c r="H81" i="2"/>
  <c r="H83" i="2"/>
  <c r="H84" i="2"/>
  <c r="H86" i="2"/>
  <c r="H87" i="2"/>
  <c r="H89" i="2"/>
  <c r="H90" i="2"/>
  <c r="H92" i="2"/>
  <c r="H93" i="2"/>
  <c r="H95" i="2"/>
  <c r="H96" i="2"/>
  <c r="H98" i="2"/>
  <c r="H99" i="2"/>
  <c r="H101" i="2"/>
  <c r="H102" i="2"/>
  <c r="H104" i="2"/>
  <c r="H105" i="2"/>
  <c r="H107" i="2"/>
  <c r="H108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2" i="2"/>
  <c r="H133" i="2"/>
  <c r="H135" i="2"/>
  <c r="H136" i="2"/>
  <c r="H137" i="2"/>
  <c r="H138" i="2"/>
  <c r="H139" i="2"/>
  <c r="H140" i="2"/>
  <c r="H141" i="2"/>
  <c r="H143" i="2"/>
  <c r="H144" i="2"/>
  <c r="H146" i="2"/>
  <c r="H147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2" i="2"/>
  <c r="H163" i="2"/>
  <c r="H164" i="2"/>
  <c r="H166" i="2"/>
  <c r="H167" i="2"/>
  <c r="H169" i="2"/>
  <c r="H170" i="2"/>
  <c r="H171" i="2"/>
  <c r="H172" i="2"/>
  <c r="H173" i="2"/>
  <c r="H174" i="2"/>
  <c r="H175" i="2"/>
  <c r="H176" i="2"/>
  <c r="H177" i="2"/>
  <c r="H49" i="2"/>
  <c r="H50" i="2"/>
  <c r="H51" i="2"/>
  <c r="H52" i="2"/>
  <c r="H53" i="2"/>
  <c r="H54" i="2"/>
  <c r="H55" i="2"/>
  <c r="H56" i="2"/>
  <c r="H57" i="2"/>
  <c r="H59" i="2"/>
  <c r="H60" i="2"/>
  <c r="H62" i="2"/>
  <c r="H63" i="2"/>
  <c r="H64" i="2"/>
  <c r="H65" i="2"/>
  <c r="H66" i="2"/>
  <c r="H67" i="2"/>
  <c r="H68" i="2"/>
  <c r="H69" i="2"/>
  <c r="H70" i="2"/>
  <c r="H71" i="2"/>
  <c r="H72" i="2"/>
  <c r="H73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8" i="2"/>
  <c r="U13" i="2"/>
  <c r="U81" i="2"/>
  <c r="U84" i="2"/>
  <c r="U89" i="2"/>
  <c r="U90" i="2"/>
  <c r="U92" i="2"/>
  <c r="U98" i="2"/>
  <c r="U99" i="2"/>
  <c r="U101" i="2"/>
  <c r="U102" i="2"/>
  <c r="U104" i="2"/>
  <c r="U107" i="2"/>
  <c r="U108" i="2"/>
  <c r="U110" i="2"/>
  <c r="U132" i="2"/>
  <c r="U143" i="2"/>
  <c r="U144" i="2"/>
  <c r="U146" i="2"/>
  <c r="U149" i="2"/>
  <c r="U150" i="2"/>
  <c r="U162" i="2"/>
  <c r="U163" i="2"/>
  <c r="U167" i="2"/>
  <c r="U169" i="2"/>
  <c r="U170" i="2"/>
  <c r="T144" i="2"/>
  <c r="T149" i="2"/>
  <c r="T150" i="2"/>
  <c r="T162" i="2"/>
  <c r="T163" i="2"/>
  <c r="T167" i="2"/>
  <c r="T169" i="2"/>
  <c r="T83" i="2"/>
  <c r="T84" i="2"/>
  <c r="T90" i="2"/>
  <c r="T92" i="2"/>
  <c r="T98" i="2"/>
  <c r="T101" i="2"/>
  <c r="T102" i="2"/>
  <c r="T104" i="2"/>
  <c r="T105" i="2"/>
  <c r="T110" i="2"/>
  <c r="T132" i="2"/>
  <c r="T13" i="2"/>
  <c r="U12" i="2"/>
  <c r="D24" i="25"/>
  <c r="D22" i="25"/>
  <c r="D26" i="25"/>
  <c r="T133" i="2" l="1"/>
  <c r="U96" i="2"/>
  <c r="T95" i="2"/>
  <c r="T87" i="2"/>
  <c r="T86" i="2"/>
  <c r="U80" i="2"/>
  <c r="T111" i="2"/>
  <c r="T93" i="2"/>
  <c r="T147" i="2"/>
  <c r="U135" i="2"/>
  <c r="T166" i="2"/>
  <c r="U136" i="2"/>
  <c r="D27" i="25"/>
  <c r="D25" i="25"/>
  <c r="D23" i="25"/>
  <c r="AC7" i="24"/>
  <c r="AC8" i="24"/>
  <c r="AC9" i="24"/>
  <c r="AC10" i="24"/>
  <c r="AC11" i="24"/>
  <c r="AC12" i="24"/>
  <c r="AC13" i="24"/>
  <c r="AC14" i="24"/>
  <c r="AC15" i="24"/>
  <c r="AC16" i="24"/>
  <c r="AC17" i="24"/>
  <c r="AC18" i="24"/>
  <c r="AC19" i="24"/>
  <c r="AC20" i="24"/>
  <c r="AC21" i="24"/>
  <c r="AC22" i="24"/>
  <c r="AC23" i="24"/>
  <c r="AC24" i="24"/>
  <c r="AC25" i="24"/>
  <c r="AC26" i="24"/>
  <c r="AC27" i="24"/>
  <c r="AC28" i="24"/>
  <c r="AC29" i="24"/>
  <c r="AC30" i="24"/>
  <c r="AC31" i="24"/>
  <c r="AC32" i="24"/>
  <c r="AC33" i="24"/>
  <c r="AC34" i="24"/>
  <c r="AC35" i="24"/>
  <c r="AC36" i="24"/>
  <c r="AC37" i="24"/>
  <c r="AC38" i="24"/>
  <c r="AC39" i="24"/>
  <c r="AC40" i="24"/>
  <c r="AC41" i="24"/>
  <c r="AC42" i="24"/>
  <c r="AC43" i="24"/>
  <c r="AC44" i="24"/>
  <c r="AC45" i="24"/>
  <c r="AC46" i="24"/>
  <c r="AC47" i="24"/>
  <c r="AC48" i="24"/>
  <c r="AC49" i="24"/>
  <c r="AC50" i="24"/>
  <c r="AC51" i="24"/>
  <c r="AC52" i="24"/>
  <c r="AC53" i="24"/>
  <c r="AC54" i="24"/>
  <c r="AC55" i="24"/>
  <c r="AC56" i="24"/>
  <c r="AC57" i="24"/>
  <c r="AC58" i="24"/>
  <c r="AC59" i="24"/>
  <c r="AC60" i="24"/>
  <c r="AC61" i="24"/>
  <c r="AC62" i="24"/>
  <c r="AC63" i="24"/>
  <c r="AC64" i="24"/>
  <c r="AC65" i="24"/>
  <c r="AC66" i="24"/>
  <c r="AC67" i="24"/>
  <c r="AC68" i="24"/>
  <c r="AC69" i="24"/>
  <c r="AC70" i="24"/>
  <c r="AC71" i="24"/>
  <c r="AC72" i="24"/>
  <c r="AC73" i="24"/>
  <c r="AC74" i="24"/>
  <c r="AC75" i="24"/>
  <c r="AC76" i="24"/>
  <c r="AC77" i="24"/>
  <c r="AC78" i="24"/>
  <c r="AC79" i="24"/>
  <c r="AC80" i="24"/>
  <c r="AC81" i="24"/>
  <c r="AC82" i="24"/>
  <c r="AC83" i="24"/>
  <c r="AC84" i="24"/>
  <c r="AC85" i="24"/>
  <c r="AC86" i="24"/>
  <c r="AC87" i="24"/>
  <c r="AC88" i="24"/>
  <c r="AC89" i="24"/>
  <c r="AC90" i="24"/>
  <c r="AC91" i="24"/>
  <c r="AC92" i="24"/>
  <c r="AC93" i="24"/>
  <c r="AC94" i="24"/>
  <c r="AC95" i="24"/>
  <c r="AC96" i="24"/>
  <c r="AC97" i="24"/>
  <c r="AC98" i="24"/>
  <c r="AC99" i="24"/>
  <c r="AC100" i="24"/>
  <c r="AC101" i="24"/>
  <c r="AC102" i="24"/>
  <c r="AC103" i="24"/>
  <c r="AC104" i="24"/>
  <c r="AC105" i="24"/>
  <c r="AC106" i="24"/>
  <c r="AC107" i="24"/>
  <c r="AC108" i="24"/>
  <c r="AC109" i="24"/>
  <c r="AC110" i="24"/>
  <c r="AC111" i="24"/>
  <c r="AC112" i="24"/>
  <c r="AC113" i="24"/>
  <c r="AC114" i="24"/>
  <c r="AC115" i="24"/>
  <c r="AC116" i="24"/>
  <c r="AC117" i="24"/>
  <c r="AC118" i="24"/>
  <c r="AC119" i="24"/>
  <c r="AC120" i="24"/>
  <c r="AC121" i="24"/>
  <c r="AC122" i="24"/>
  <c r="AC123" i="24"/>
  <c r="AC124" i="24"/>
  <c r="AC125" i="24"/>
  <c r="AC126" i="24"/>
  <c r="AC127" i="24"/>
  <c r="AC128" i="24"/>
  <c r="AC129" i="24"/>
  <c r="AC130" i="24"/>
  <c r="AC131" i="24"/>
  <c r="AC132" i="24"/>
  <c r="AC133" i="24"/>
  <c r="AC134" i="24"/>
  <c r="AC135" i="24"/>
  <c r="AC136" i="24"/>
  <c r="AC137" i="24"/>
  <c r="AC138" i="24"/>
  <c r="AC139" i="24"/>
  <c r="AC140" i="24"/>
  <c r="AC141" i="24"/>
  <c r="AC142" i="24"/>
  <c r="AC143" i="24"/>
  <c r="AC144" i="24"/>
  <c r="AC145" i="24"/>
  <c r="AC146" i="24"/>
  <c r="AC147" i="24"/>
  <c r="AC148" i="24"/>
  <c r="AC149" i="24"/>
  <c r="AC150" i="24"/>
  <c r="AC151" i="24"/>
  <c r="AC152" i="24"/>
  <c r="AC153" i="24"/>
  <c r="AC154" i="24"/>
  <c r="AC155" i="24"/>
  <c r="AC156" i="24"/>
  <c r="AC157" i="24"/>
  <c r="AC158" i="24"/>
  <c r="AC159" i="24"/>
  <c r="AC160" i="24"/>
  <c r="AC161" i="24"/>
  <c r="AC162" i="24"/>
  <c r="AC163" i="24"/>
  <c r="AC164" i="24"/>
  <c r="AC165" i="24"/>
  <c r="AC166" i="24"/>
  <c r="AC167" i="24"/>
  <c r="AC168" i="24"/>
  <c r="AC169" i="24"/>
  <c r="AC170" i="24"/>
  <c r="AC171" i="24"/>
  <c r="AC172" i="24"/>
  <c r="AC173" i="24"/>
  <c r="AC174" i="24"/>
  <c r="AC175" i="24"/>
  <c r="AC176" i="24"/>
  <c r="AC177" i="24"/>
  <c r="AC178" i="24"/>
  <c r="AC179" i="24"/>
  <c r="AC180" i="24"/>
  <c r="AC181" i="24"/>
  <c r="AC182" i="24"/>
  <c r="AC183" i="24"/>
  <c r="AC184" i="24"/>
  <c r="AC185" i="24"/>
  <c r="AC186" i="24"/>
  <c r="AC187" i="24"/>
  <c r="AC188" i="24"/>
  <c r="AC189" i="24"/>
  <c r="AC190" i="24"/>
  <c r="AC191" i="24"/>
  <c r="AC192" i="24"/>
  <c r="AC193" i="24"/>
  <c r="AC194" i="24"/>
  <c r="AC195" i="24"/>
  <c r="AC196" i="24"/>
  <c r="AC197" i="24"/>
  <c r="AC198" i="24"/>
  <c r="AC199" i="24"/>
  <c r="AC200" i="24"/>
  <c r="AC201" i="24"/>
  <c r="AC202" i="24"/>
  <c r="AC203" i="24"/>
  <c r="AC204" i="24"/>
  <c r="AC205" i="24"/>
  <c r="AC206" i="24"/>
  <c r="AC207" i="24"/>
  <c r="AC208" i="24"/>
  <c r="AC209" i="24"/>
  <c r="AC210" i="24"/>
  <c r="AC211" i="24"/>
  <c r="AC212" i="24"/>
  <c r="AC213" i="24"/>
  <c r="AC214" i="24"/>
  <c r="AC215" i="24"/>
  <c r="AC216" i="24"/>
  <c r="AC217" i="24"/>
  <c r="AC218" i="24"/>
  <c r="AC219" i="24"/>
  <c r="AC220" i="24"/>
  <c r="AC221" i="24"/>
  <c r="AC222" i="24"/>
  <c r="AC223" i="24"/>
  <c r="AC224" i="24"/>
  <c r="AC225" i="24"/>
  <c r="AC226" i="24"/>
  <c r="AC227" i="24"/>
  <c r="AC228" i="24"/>
  <c r="AC229" i="24"/>
  <c r="AC230" i="24"/>
  <c r="AC231" i="24"/>
  <c r="AC232" i="24"/>
  <c r="AC233" i="24"/>
  <c r="AC234" i="24"/>
  <c r="AC235" i="24"/>
  <c r="AC236" i="24"/>
  <c r="AC237" i="24"/>
  <c r="AC238" i="24"/>
  <c r="AC239" i="24"/>
  <c r="AC240" i="24"/>
  <c r="AC241" i="24"/>
  <c r="AC242" i="24"/>
  <c r="AC243" i="24"/>
  <c r="AC244" i="24"/>
  <c r="AC245" i="24"/>
  <c r="AC246" i="24"/>
  <c r="AC247" i="24"/>
  <c r="AC248" i="24"/>
  <c r="AC249" i="24"/>
  <c r="AC250" i="24"/>
  <c r="AC251" i="24"/>
  <c r="AC252" i="24"/>
  <c r="AC253" i="24"/>
  <c r="AD6" i="24"/>
  <c r="AD7" i="24"/>
  <c r="AD8" i="24"/>
  <c r="AD9" i="24"/>
  <c r="AD10" i="24"/>
  <c r="AD11" i="24"/>
  <c r="AD12" i="24"/>
  <c r="AD13" i="24"/>
  <c r="AD14" i="24"/>
  <c r="AD15" i="24"/>
  <c r="AD16" i="24"/>
  <c r="AD17" i="24"/>
  <c r="AD18" i="24"/>
  <c r="AD19" i="24"/>
  <c r="AD20" i="24"/>
  <c r="AD21" i="24"/>
  <c r="AD22" i="24"/>
  <c r="AD23" i="24"/>
  <c r="AD24" i="24"/>
  <c r="AD25" i="24"/>
  <c r="AD26" i="24"/>
  <c r="AD27" i="24"/>
  <c r="AD28" i="24"/>
  <c r="AD29" i="24"/>
  <c r="AD30" i="24"/>
  <c r="AD31" i="24"/>
  <c r="AD32" i="24"/>
  <c r="AD33" i="24"/>
  <c r="AD34" i="24"/>
  <c r="AD35" i="24"/>
  <c r="AD36" i="24"/>
  <c r="AD37" i="24"/>
  <c r="AD38" i="24"/>
  <c r="AD39" i="24"/>
  <c r="AD40" i="24"/>
  <c r="AD41" i="24"/>
  <c r="AD42" i="24"/>
  <c r="AD43" i="24"/>
  <c r="AD44" i="24"/>
  <c r="AD45" i="24"/>
  <c r="AD46" i="24"/>
  <c r="AD47" i="24"/>
  <c r="AD48" i="24"/>
  <c r="AD49" i="24"/>
  <c r="AD50" i="24"/>
  <c r="AD51" i="24"/>
  <c r="AD52" i="24"/>
  <c r="AD53" i="24"/>
  <c r="AD54" i="24"/>
  <c r="AD55" i="24"/>
  <c r="AD56" i="24"/>
  <c r="AD57" i="24"/>
  <c r="AD58" i="24"/>
  <c r="AD59" i="24"/>
  <c r="AD60" i="24"/>
  <c r="AD61" i="24"/>
  <c r="AD62" i="24"/>
  <c r="AD63" i="24"/>
  <c r="AD64" i="24"/>
  <c r="AD65" i="24"/>
  <c r="AD66" i="24"/>
  <c r="AD67" i="24"/>
  <c r="AD68" i="24"/>
  <c r="AD69" i="24"/>
  <c r="AD70" i="24"/>
  <c r="AD71" i="24"/>
  <c r="AD72" i="24"/>
  <c r="AD73" i="24"/>
  <c r="AD74" i="24"/>
  <c r="AD75" i="24"/>
  <c r="AD76" i="24"/>
  <c r="AD77" i="24"/>
  <c r="AD78" i="24"/>
  <c r="AD79" i="24"/>
  <c r="AD80" i="24"/>
  <c r="AD81" i="24"/>
  <c r="AD82" i="24"/>
  <c r="AD83" i="24"/>
  <c r="AD84" i="24"/>
  <c r="AD85" i="24"/>
  <c r="AD86" i="24"/>
  <c r="AD87" i="24"/>
  <c r="AD88" i="24"/>
  <c r="AD89" i="24"/>
  <c r="AD90" i="24"/>
  <c r="AD91" i="24"/>
  <c r="AD92" i="24"/>
  <c r="AD93" i="24"/>
  <c r="AD94" i="24"/>
  <c r="AD95" i="24"/>
  <c r="AD96" i="24"/>
  <c r="AD97" i="24"/>
  <c r="AD98" i="24"/>
  <c r="AD99" i="24"/>
  <c r="AD100" i="24"/>
  <c r="AD101" i="24"/>
  <c r="AD102" i="24"/>
  <c r="AD103" i="24"/>
  <c r="AD104" i="24"/>
  <c r="AD105" i="24"/>
  <c r="AD106" i="24"/>
  <c r="AD107" i="24"/>
  <c r="AD108" i="24"/>
  <c r="AD109" i="24"/>
  <c r="AD110" i="24"/>
  <c r="AD111" i="24"/>
  <c r="AD112" i="24"/>
  <c r="AD113" i="24"/>
  <c r="AD114" i="24"/>
  <c r="AD115" i="24"/>
  <c r="AD116" i="24"/>
  <c r="AD117" i="24"/>
  <c r="AD118" i="24"/>
  <c r="AD119" i="24"/>
  <c r="AD120" i="24"/>
  <c r="AD121" i="24"/>
  <c r="AD122" i="24"/>
  <c r="AD123" i="24"/>
  <c r="AD124" i="24"/>
  <c r="AD125" i="24"/>
  <c r="AD126" i="24"/>
  <c r="AD127" i="24"/>
  <c r="AD128" i="24"/>
  <c r="AD129" i="24"/>
  <c r="AD130" i="24"/>
  <c r="AD131" i="24"/>
  <c r="AD132" i="24"/>
  <c r="AD133" i="24"/>
  <c r="AD134" i="24"/>
  <c r="AD135" i="24"/>
  <c r="AD136" i="24"/>
  <c r="AD137" i="24"/>
  <c r="AD138" i="24"/>
  <c r="AD139" i="24"/>
  <c r="AD140" i="24"/>
  <c r="AD141" i="24"/>
  <c r="AD142" i="24"/>
  <c r="AD143" i="24"/>
  <c r="AD144" i="24"/>
  <c r="AD145" i="24"/>
  <c r="AD146" i="24"/>
  <c r="AD147" i="24"/>
  <c r="AD148" i="24"/>
  <c r="AD149" i="24"/>
  <c r="AD150" i="24"/>
  <c r="AD151" i="24"/>
  <c r="AD152" i="24"/>
  <c r="AD153" i="24"/>
  <c r="AD154" i="24"/>
  <c r="AD155" i="24"/>
  <c r="AD156" i="24"/>
  <c r="AD157" i="24"/>
  <c r="AD158" i="24"/>
  <c r="AD159" i="24"/>
  <c r="AD160" i="24"/>
  <c r="AD161" i="24"/>
  <c r="AD162" i="24"/>
  <c r="AD163" i="24"/>
  <c r="AD164" i="24"/>
  <c r="AD165" i="24"/>
  <c r="AD166" i="24"/>
  <c r="AD167" i="24"/>
  <c r="AD168" i="24"/>
  <c r="AD169" i="24"/>
  <c r="AD170" i="24"/>
  <c r="AD171" i="24"/>
  <c r="AD172" i="24"/>
  <c r="AD173" i="24"/>
  <c r="AD174" i="24"/>
  <c r="AD175" i="24"/>
  <c r="AD176" i="24"/>
  <c r="AD177" i="24"/>
  <c r="AD178" i="24"/>
  <c r="AD179" i="24"/>
  <c r="AD180" i="24"/>
  <c r="AD181" i="24"/>
  <c r="AD182" i="24"/>
  <c r="AD183" i="24"/>
  <c r="AD184" i="24"/>
  <c r="AD185" i="24"/>
  <c r="AD186" i="24"/>
  <c r="AD187" i="24"/>
  <c r="AD188" i="24"/>
  <c r="AD189" i="24"/>
  <c r="AD190" i="24"/>
  <c r="AD191" i="24"/>
  <c r="AD192" i="24"/>
  <c r="AD193" i="24"/>
  <c r="AD194" i="24"/>
  <c r="AD195" i="24"/>
  <c r="AD196" i="24"/>
  <c r="AD197" i="24"/>
  <c r="AD198" i="24"/>
  <c r="AD199" i="24"/>
  <c r="AD200" i="24"/>
  <c r="AD201" i="24"/>
  <c r="AD202" i="24"/>
  <c r="AD203" i="24"/>
  <c r="AD204" i="24"/>
  <c r="AD205" i="24"/>
  <c r="AD206" i="24"/>
  <c r="AD207" i="24"/>
  <c r="AD208" i="24"/>
  <c r="AD209" i="24"/>
  <c r="AD210" i="24"/>
  <c r="AD211" i="24"/>
  <c r="AD212" i="24"/>
  <c r="AD213" i="24"/>
  <c r="AD214" i="24"/>
  <c r="AD215" i="24"/>
  <c r="AD216" i="24"/>
  <c r="AD217" i="24"/>
  <c r="AD218" i="24"/>
  <c r="AD219" i="24"/>
  <c r="AD220" i="24"/>
  <c r="AD221" i="24"/>
  <c r="AD222" i="24"/>
  <c r="AD223" i="24"/>
  <c r="AD224" i="24"/>
  <c r="AD225" i="24"/>
  <c r="AD226" i="24"/>
  <c r="AD227" i="24"/>
  <c r="AD228" i="24"/>
  <c r="AD229" i="24"/>
  <c r="AD230" i="24"/>
  <c r="AD231" i="24"/>
  <c r="AD232" i="24"/>
  <c r="AD233" i="24"/>
  <c r="AD234" i="24"/>
  <c r="AD235" i="24"/>
  <c r="AD236" i="24"/>
  <c r="AD237" i="24"/>
  <c r="AD238" i="24"/>
  <c r="AD239" i="24"/>
  <c r="AD240" i="24"/>
  <c r="AD241" i="24"/>
  <c r="AD242" i="24"/>
  <c r="AD243" i="24"/>
  <c r="AD244" i="24"/>
  <c r="AD245" i="24"/>
  <c r="AD246" i="24"/>
  <c r="AD247" i="24"/>
  <c r="AD248" i="24"/>
  <c r="AD249" i="24"/>
  <c r="AD250" i="24"/>
  <c r="AD251" i="24"/>
  <c r="AD252" i="24"/>
  <c r="AD253" i="24"/>
  <c r="AE4" i="24"/>
  <c r="AE5" i="24"/>
  <c r="AE6" i="24"/>
  <c r="AE7" i="24"/>
  <c r="AE8" i="24"/>
  <c r="AE9" i="24"/>
  <c r="AE10" i="24"/>
  <c r="AE11" i="24"/>
  <c r="AE12" i="24"/>
  <c r="AE13" i="24"/>
  <c r="AE14" i="24"/>
  <c r="AE15" i="24"/>
  <c r="AE16" i="24"/>
  <c r="AE17" i="24"/>
  <c r="AE18" i="24"/>
  <c r="AE19" i="24"/>
  <c r="AE20" i="24"/>
  <c r="AE21" i="24"/>
  <c r="AE22" i="24"/>
  <c r="AE23" i="24"/>
  <c r="AE24" i="24"/>
  <c r="AE25" i="24"/>
  <c r="AE26" i="24"/>
  <c r="AE27" i="24"/>
  <c r="AE28" i="24"/>
  <c r="AE29" i="24"/>
  <c r="AE30" i="24"/>
  <c r="AE31" i="24"/>
  <c r="AE32" i="24"/>
  <c r="AE33" i="24"/>
  <c r="AE34" i="24"/>
  <c r="AE35" i="24"/>
  <c r="AE36" i="24"/>
  <c r="AE37" i="24"/>
  <c r="AE38" i="24"/>
  <c r="AE39" i="24"/>
  <c r="AE40" i="24"/>
  <c r="AE41" i="24"/>
  <c r="AE42" i="24"/>
  <c r="AE43" i="24"/>
  <c r="AE44" i="24"/>
  <c r="AE45" i="24"/>
  <c r="AE46" i="24"/>
  <c r="AE47" i="24"/>
  <c r="AE48" i="24"/>
  <c r="AE49" i="24"/>
  <c r="AE50" i="24"/>
  <c r="AE51" i="24"/>
  <c r="AE52" i="24"/>
  <c r="AE53" i="24"/>
  <c r="AE54" i="24"/>
  <c r="AE55" i="24"/>
  <c r="AE56" i="24"/>
  <c r="AE57" i="24"/>
  <c r="AE58" i="24"/>
  <c r="AE59" i="24"/>
  <c r="AE60" i="24"/>
  <c r="AE61" i="24"/>
  <c r="AE62" i="24"/>
  <c r="AE63" i="24"/>
  <c r="AE64" i="24"/>
  <c r="AE65" i="24"/>
  <c r="AE66" i="24"/>
  <c r="AE67" i="24"/>
  <c r="AE68" i="24"/>
  <c r="AE69" i="24"/>
  <c r="AE70" i="24"/>
  <c r="AE71" i="24"/>
  <c r="AE72" i="24"/>
  <c r="AE73" i="24"/>
  <c r="AE74" i="24"/>
  <c r="AE75" i="24"/>
  <c r="AE76" i="24"/>
  <c r="AE77" i="24"/>
  <c r="AE78" i="24"/>
  <c r="AE79" i="24"/>
  <c r="AE80" i="24"/>
  <c r="AE81" i="24"/>
  <c r="AE82" i="24"/>
  <c r="AE83" i="24"/>
  <c r="AE84" i="24"/>
  <c r="AE85" i="24"/>
  <c r="AE86" i="24"/>
  <c r="AE87" i="24"/>
  <c r="AE88" i="24"/>
  <c r="AE89" i="24"/>
  <c r="AE90" i="24"/>
  <c r="AE91" i="24"/>
  <c r="AE92" i="24"/>
  <c r="AE93" i="24"/>
  <c r="AE94" i="24"/>
  <c r="AE95" i="24"/>
  <c r="AE96" i="24"/>
  <c r="AE97" i="24"/>
  <c r="AE98" i="24"/>
  <c r="AE99" i="24"/>
  <c r="AE100" i="24"/>
  <c r="AE101" i="24"/>
  <c r="AE102" i="24"/>
  <c r="AE103" i="24"/>
  <c r="AE104" i="24"/>
  <c r="AE105" i="24"/>
  <c r="AE106" i="24"/>
  <c r="AE107" i="24"/>
  <c r="AE108" i="24"/>
  <c r="AE109" i="24"/>
  <c r="AE110" i="24"/>
  <c r="AE111" i="24"/>
  <c r="AE112" i="24"/>
  <c r="AE113" i="24"/>
  <c r="AE114" i="24"/>
  <c r="AE115" i="24"/>
  <c r="AE116" i="24"/>
  <c r="AE117" i="24"/>
  <c r="AE118" i="24"/>
  <c r="AE119" i="24"/>
  <c r="AE120" i="24"/>
  <c r="AE121" i="24"/>
  <c r="AE122" i="24"/>
  <c r="AE123" i="24"/>
  <c r="AE124" i="24"/>
  <c r="AE125" i="24"/>
  <c r="AE126" i="24"/>
  <c r="AE127" i="24"/>
  <c r="AE128" i="24"/>
  <c r="AE129" i="24"/>
  <c r="AE130" i="24"/>
  <c r="AE131" i="24"/>
  <c r="AE132" i="24"/>
  <c r="AE133" i="24"/>
  <c r="AE134" i="24"/>
  <c r="AE135" i="24"/>
  <c r="AE136" i="24"/>
  <c r="AE137" i="24"/>
  <c r="AE138" i="24"/>
  <c r="AE139" i="24"/>
  <c r="AE140" i="24"/>
  <c r="AE141" i="24"/>
  <c r="AE142" i="24"/>
  <c r="AE143" i="24"/>
  <c r="AE144" i="24"/>
  <c r="AE145" i="24"/>
  <c r="AE146" i="24"/>
  <c r="AE147" i="24"/>
  <c r="AE148" i="24"/>
  <c r="AE149" i="24"/>
  <c r="AE150" i="24"/>
  <c r="AE151" i="24"/>
  <c r="AE152" i="24"/>
  <c r="AE153" i="24"/>
  <c r="AE154" i="24"/>
  <c r="AE155" i="24"/>
  <c r="AE156" i="24"/>
  <c r="AE157" i="24"/>
  <c r="AE158" i="24"/>
  <c r="AE159" i="24"/>
  <c r="AE160" i="24"/>
  <c r="AE161" i="24"/>
  <c r="AE162" i="24"/>
  <c r="AE163" i="24"/>
  <c r="AE164" i="24"/>
  <c r="AE165" i="24"/>
  <c r="AE166" i="24"/>
  <c r="AE167" i="24"/>
  <c r="AE168" i="24"/>
  <c r="AE169" i="24"/>
  <c r="AE170" i="24"/>
  <c r="AE171" i="24"/>
  <c r="AE172" i="24"/>
  <c r="AE173" i="24"/>
  <c r="AE174" i="24"/>
  <c r="AE175" i="24"/>
  <c r="AE176" i="24"/>
  <c r="AE177" i="24"/>
  <c r="AE178" i="24"/>
  <c r="AE179" i="24"/>
  <c r="AE180" i="24"/>
  <c r="AE181" i="24"/>
  <c r="AE182" i="24"/>
  <c r="AE183" i="24"/>
  <c r="AE184" i="24"/>
  <c r="AE185" i="24"/>
  <c r="AE186" i="24"/>
  <c r="AE187" i="24"/>
  <c r="AE188" i="24"/>
  <c r="AE189" i="24"/>
  <c r="AE190" i="24"/>
  <c r="AE191" i="24"/>
  <c r="AE192" i="24"/>
  <c r="AE193" i="24"/>
  <c r="AE194" i="24"/>
  <c r="AE195" i="24"/>
  <c r="AE196" i="24"/>
  <c r="AE197" i="24"/>
  <c r="AE198" i="24"/>
  <c r="AE199" i="24"/>
  <c r="AE200" i="24"/>
  <c r="AE201" i="24"/>
  <c r="AE202" i="24"/>
  <c r="AE203" i="24"/>
  <c r="AE204" i="24"/>
  <c r="AE205" i="24"/>
  <c r="AE206" i="24"/>
  <c r="AE207" i="24"/>
  <c r="AE208" i="24"/>
  <c r="AE209" i="24"/>
  <c r="AE210" i="24"/>
  <c r="AE211" i="24"/>
  <c r="AE212" i="24"/>
  <c r="AE213" i="24"/>
  <c r="AE214" i="24"/>
  <c r="AE215" i="24"/>
  <c r="AE216" i="24"/>
  <c r="AE217" i="24"/>
  <c r="AE218" i="24"/>
  <c r="AE219" i="24"/>
  <c r="AE220" i="24"/>
  <c r="AE221" i="24"/>
  <c r="AE222" i="24"/>
  <c r="AE223" i="24"/>
  <c r="AE224" i="24"/>
  <c r="AE225" i="24"/>
  <c r="AE226" i="24"/>
  <c r="AE227" i="24"/>
  <c r="AE228" i="24"/>
  <c r="AE229" i="24"/>
  <c r="AE230" i="24"/>
  <c r="AE231" i="24"/>
  <c r="AE232" i="24"/>
  <c r="AE233" i="24"/>
  <c r="AE234" i="24"/>
  <c r="AE235" i="24"/>
  <c r="AE236" i="24"/>
  <c r="AE237" i="24"/>
  <c r="AE238" i="24"/>
  <c r="AE239" i="24"/>
  <c r="AE240" i="24"/>
  <c r="AE241" i="24"/>
  <c r="AE242" i="24"/>
  <c r="AE243" i="24"/>
  <c r="AE244" i="24"/>
  <c r="AE245" i="24"/>
  <c r="AE246" i="24"/>
  <c r="AE247" i="24"/>
  <c r="AE248" i="24"/>
  <c r="AE249" i="24"/>
  <c r="AE250" i="24"/>
  <c r="AE251" i="24"/>
  <c r="AE252" i="24"/>
  <c r="AE253" i="24"/>
  <c r="AF4" i="24"/>
  <c r="AF5" i="24"/>
  <c r="AF6" i="24"/>
  <c r="AF7" i="24"/>
  <c r="AF8" i="24"/>
  <c r="AF9" i="24"/>
  <c r="AF10" i="24"/>
  <c r="AF11" i="24"/>
  <c r="AF12" i="24"/>
  <c r="AF13" i="24"/>
  <c r="AF14" i="24"/>
  <c r="AF15" i="24"/>
  <c r="AF16" i="24"/>
  <c r="AF17" i="24"/>
  <c r="AF18" i="24"/>
  <c r="AF19" i="24"/>
  <c r="AF20" i="24"/>
  <c r="AF21" i="24"/>
  <c r="AF22" i="24"/>
  <c r="AF23" i="24"/>
  <c r="AF24" i="24"/>
  <c r="AF25" i="24"/>
  <c r="AF26" i="24"/>
  <c r="AF27" i="24"/>
  <c r="AF28" i="24"/>
  <c r="AF29" i="24"/>
  <c r="AF30" i="24"/>
  <c r="AF31" i="24"/>
  <c r="AF32" i="24"/>
  <c r="AF33" i="24"/>
  <c r="AF34" i="24"/>
  <c r="AF35" i="24"/>
  <c r="AF36" i="24"/>
  <c r="AF37" i="24"/>
  <c r="AF38" i="24"/>
  <c r="AF39" i="24"/>
  <c r="AF40" i="24"/>
  <c r="AF41" i="24"/>
  <c r="AF42" i="24"/>
  <c r="AF43" i="24"/>
  <c r="AF44" i="24"/>
  <c r="AF45" i="24"/>
  <c r="AF46" i="24"/>
  <c r="AF47" i="24"/>
  <c r="AF48" i="24"/>
  <c r="AF49" i="24"/>
  <c r="AF50" i="24"/>
  <c r="AF51" i="24"/>
  <c r="AF52" i="24"/>
  <c r="AF53" i="24"/>
  <c r="AF54" i="24"/>
  <c r="AF55" i="24"/>
  <c r="AF56" i="24"/>
  <c r="AF57" i="24"/>
  <c r="AF58" i="24"/>
  <c r="AF59" i="24"/>
  <c r="AF60" i="24"/>
  <c r="AF61" i="24"/>
  <c r="AF62" i="24"/>
  <c r="AF63" i="24"/>
  <c r="AF64" i="24"/>
  <c r="AF65" i="24"/>
  <c r="AF66" i="24"/>
  <c r="AF67" i="24"/>
  <c r="AF68" i="24"/>
  <c r="AF69" i="24"/>
  <c r="AF70" i="24"/>
  <c r="AF71" i="24"/>
  <c r="AF72" i="24"/>
  <c r="AF73" i="24"/>
  <c r="AF74" i="24"/>
  <c r="AF75" i="24"/>
  <c r="AF76" i="24"/>
  <c r="AF77" i="24"/>
  <c r="AF78" i="24"/>
  <c r="AF79" i="24"/>
  <c r="AF80" i="24"/>
  <c r="AF81" i="24"/>
  <c r="AF82" i="24"/>
  <c r="AF83" i="24"/>
  <c r="AF84" i="24"/>
  <c r="AF85" i="24"/>
  <c r="AF86" i="24"/>
  <c r="AF87" i="24"/>
  <c r="AF88" i="24"/>
  <c r="AF89" i="24"/>
  <c r="AF90" i="24"/>
  <c r="AF91" i="24"/>
  <c r="AF92" i="24"/>
  <c r="AF93" i="24"/>
  <c r="AF94" i="24"/>
  <c r="AF95" i="24"/>
  <c r="AF96" i="24"/>
  <c r="AF97" i="24"/>
  <c r="AF98" i="24"/>
  <c r="AF99" i="24"/>
  <c r="AF100" i="24"/>
  <c r="AF101" i="24"/>
  <c r="AF102" i="24"/>
  <c r="AF103" i="24"/>
  <c r="AF104" i="24"/>
  <c r="AF105" i="24"/>
  <c r="AF106" i="24"/>
  <c r="AF107" i="24"/>
  <c r="AF108" i="24"/>
  <c r="AF109" i="24"/>
  <c r="AF110" i="24"/>
  <c r="AF111" i="24"/>
  <c r="AF112" i="24"/>
  <c r="AF113" i="24"/>
  <c r="AF114" i="24"/>
  <c r="AF115" i="24"/>
  <c r="AF116" i="24"/>
  <c r="AF117" i="24"/>
  <c r="AF118" i="24"/>
  <c r="AF119" i="24"/>
  <c r="AF120" i="24"/>
  <c r="AF121" i="24"/>
  <c r="AF122" i="24"/>
  <c r="AF123" i="24"/>
  <c r="AF124" i="24"/>
  <c r="AF125" i="24"/>
  <c r="AF126" i="24"/>
  <c r="AF127" i="24"/>
  <c r="AF128" i="24"/>
  <c r="AF129" i="24"/>
  <c r="AF130" i="24"/>
  <c r="AF131" i="24"/>
  <c r="AF132" i="24"/>
  <c r="AF133" i="24"/>
  <c r="AF134" i="24"/>
  <c r="AF135" i="24"/>
  <c r="AF136" i="24"/>
  <c r="AF137" i="24"/>
  <c r="AF138" i="24"/>
  <c r="AF139" i="24"/>
  <c r="AF140" i="24"/>
  <c r="AF141" i="24"/>
  <c r="AF142" i="24"/>
  <c r="AF143" i="24"/>
  <c r="AF144" i="24"/>
  <c r="AF145" i="24"/>
  <c r="AF146" i="24"/>
  <c r="AF147" i="24"/>
  <c r="AF148" i="24"/>
  <c r="AF149" i="24"/>
  <c r="AF150" i="24"/>
  <c r="AF151" i="24"/>
  <c r="AF152" i="24"/>
  <c r="AF153" i="24"/>
  <c r="AF154" i="24"/>
  <c r="AF155" i="24"/>
  <c r="AF156" i="24"/>
  <c r="AF157" i="24"/>
  <c r="AF158" i="24"/>
  <c r="AF159" i="24"/>
  <c r="AF160" i="24"/>
  <c r="AF161" i="24"/>
  <c r="AF162" i="24"/>
  <c r="AF163" i="24"/>
  <c r="AF164" i="24"/>
  <c r="AF165" i="24"/>
  <c r="AF166" i="24"/>
  <c r="AF167" i="24"/>
  <c r="AF168" i="24"/>
  <c r="AF169" i="24"/>
  <c r="AF170" i="24"/>
  <c r="AF171" i="24"/>
  <c r="AF172" i="24"/>
  <c r="AF173" i="24"/>
  <c r="AF174" i="24"/>
  <c r="AF175" i="24"/>
  <c r="AF176" i="24"/>
  <c r="AF177" i="24"/>
  <c r="AF178" i="24"/>
  <c r="AF179" i="24"/>
  <c r="AF180" i="24"/>
  <c r="AF181" i="24"/>
  <c r="AF182" i="24"/>
  <c r="AF183" i="24"/>
  <c r="AF184" i="24"/>
  <c r="AF185" i="24"/>
  <c r="AF186" i="24"/>
  <c r="AF187" i="24"/>
  <c r="AF188" i="24"/>
  <c r="AF189" i="24"/>
  <c r="AF190" i="24"/>
  <c r="AF191" i="24"/>
  <c r="AF192" i="24"/>
  <c r="AF193" i="24"/>
  <c r="AF194" i="24"/>
  <c r="AF195" i="24"/>
  <c r="AF196" i="24"/>
  <c r="AF197" i="24"/>
  <c r="AF198" i="24"/>
  <c r="AF199" i="24"/>
  <c r="AF200" i="24"/>
  <c r="AF201" i="24"/>
  <c r="AF202" i="24"/>
  <c r="AF203" i="24"/>
  <c r="AF204" i="24"/>
  <c r="AF205" i="24"/>
  <c r="AF206" i="24"/>
  <c r="AF207" i="24"/>
  <c r="AF208" i="24"/>
  <c r="AF209" i="24"/>
  <c r="AF210" i="24"/>
  <c r="AF211" i="24"/>
  <c r="AF212" i="24"/>
  <c r="AF213" i="24"/>
  <c r="AF214" i="24"/>
  <c r="AF215" i="24"/>
  <c r="AF216" i="24"/>
  <c r="AF217" i="24"/>
  <c r="AF218" i="24"/>
  <c r="AF219" i="24"/>
  <c r="AF220" i="24"/>
  <c r="AF221" i="24"/>
  <c r="AF222" i="24"/>
  <c r="AF223" i="24"/>
  <c r="AF224" i="24"/>
  <c r="AF225" i="24"/>
  <c r="AF226" i="24"/>
  <c r="AF227" i="24"/>
  <c r="AF228" i="24"/>
  <c r="AF229" i="24"/>
  <c r="AF230" i="24"/>
  <c r="AF231" i="24"/>
  <c r="AF232" i="24"/>
  <c r="AF233" i="24"/>
  <c r="AF234" i="24"/>
  <c r="AF235" i="24"/>
  <c r="AF236" i="24"/>
  <c r="AF237" i="24"/>
  <c r="AF238" i="24"/>
  <c r="AF239" i="24"/>
  <c r="AF240" i="24"/>
  <c r="AF241" i="24"/>
  <c r="AF242" i="24"/>
  <c r="AF243" i="24"/>
  <c r="AF244" i="24"/>
  <c r="AF245" i="24"/>
  <c r="AF246" i="24"/>
  <c r="AF247" i="24"/>
  <c r="AF248" i="24"/>
  <c r="AF249" i="24"/>
  <c r="AF250" i="24"/>
  <c r="AF251" i="24"/>
  <c r="AF252" i="24"/>
  <c r="AF253" i="24"/>
  <c r="AG4" i="24"/>
  <c r="AG253" i="24"/>
  <c r="AG5" i="24"/>
  <c r="AG6" i="24"/>
  <c r="AG7" i="24"/>
  <c r="AG8" i="24"/>
  <c r="AG9" i="24"/>
  <c r="AG10" i="24"/>
  <c r="AG11" i="24"/>
  <c r="AG12" i="24"/>
  <c r="AG13" i="24"/>
  <c r="AG14" i="24"/>
  <c r="AG15" i="24"/>
  <c r="AG16" i="24"/>
  <c r="AG17" i="24"/>
  <c r="AG18" i="24"/>
  <c r="AG19" i="24"/>
  <c r="AG20" i="24"/>
  <c r="AG21" i="24"/>
  <c r="AG22" i="24"/>
  <c r="AG23" i="24"/>
  <c r="AG24" i="24"/>
  <c r="AG25" i="24"/>
  <c r="AG26" i="24"/>
  <c r="AG27" i="24"/>
  <c r="AG28" i="24"/>
  <c r="AG29" i="24"/>
  <c r="AG30" i="24"/>
  <c r="AG31" i="24"/>
  <c r="AG32" i="24"/>
  <c r="AG33" i="24"/>
  <c r="AG34" i="24"/>
  <c r="AG35" i="24"/>
  <c r="AG36" i="24"/>
  <c r="AG37" i="24"/>
  <c r="AG38" i="24"/>
  <c r="AG39" i="24"/>
  <c r="AG40" i="24"/>
  <c r="AG41" i="24"/>
  <c r="AG42" i="24"/>
  <c r="AG43" i="24"/>
  <c r="AG44" i="24"/>
  <c r="AG45" i="24"/>
  <c r="AG46" i="24"/>
  <c r="AG47" i="24"/>
  <c r="AG48" i="24"/>
  <c r="AG49" i="24"/>
  <c r="AG50" i="24"/>
  <c r="AG51" i="24"/>
  <c r="AG52" i="24"/>
  <c r="AG53" i="24"/>
  <c r="AG54" i="24"/>
  <c r="AG55" i="24"/>
  <c r="AG56" i="24"/>
  <c r="AG57" i="24"/>
  <c r="AG58" i="24"/>
  <c r="AG59" i="24"/>
  <c r="AG60" i="24"/>
  <c r="AG61" i="24"/>
  <c r="AG62" i="24"/>
  <c r="AG63" i="24"/>
  <c r="AG64" i="24"/>
  <c r="AG65" i="24"/>
  <c r="AG66" i="24"/>
  <c r="AG67" i="24"/>
  <c r="AG68" i="24"/>
  <c r="AG69" i="24"/>
  <c r="AG70" i="24"/>
  <c r="AG71" i="24"/>
  <c r="AG72" i="24"/>
  <c r="AG73" i="24"/>
  <c r="AG74" i="24"/>
  <c r="AG75" i="24"/>
  <c r="AG76" i="24"/>
  <c r="AG77" i="24"/>
  <c r="AG78" i="24"/>
  <c r="AG79" i="24"/>
  <c r="AG80" i="24"/>
  <c r="AG81" i="24"/>
  <c r="AG82" i="24"/>
  <c r="AG83" i="24"/>
  <c r="AG84" i="24"/>
  <c r="AG85" i="24"/>
  <c r="AG86" i="24"/>
  <c r="AG87" i="24"/>
  <c r="AG88" i="24"/>
  <c r="AG89" i="24"/>
  <c r="AG90" i="24"/>
  <c r="AG91" i="24"/>
  <c r="AG92" i="24"/>
  <c r="AG93" i="24"/>
  <c r="AG94" i="24"/>
  <c r="AG95" i="24"/>
  <c r="AG96" i="24"/>
  <c r="AG97" i="24"/>
  <c r="AG98" i="24"/>
  <c r="AG99" i="24"/>
  <c r="AG100" i="24"/>
  <c r="AG101" i="24"/>
  <c r="AG102" i="24"/>
  <c r="AG103" i="24"/>
  <c r="AG104" i="24"/>
  <c r="AG105" i="24"/>
  <c r="AG106" i="24"/>
  <c r="AG107" i="24"/>
  <c r="AG108" i="24"/>
  <c r="AG109" i="24"/>
  <c r="AG110" i="24"/>
  <c r="AG111" i="24"/>
  <c r="AG112" i="24"/>
  <c r="AG113" i="24"/>
  <c r="AG114" i="24"/>
  <c r="AG115" i="24"/>
  <c r="AG116" i="24"/>
  <c r="AG117" i="24"/>
  <c r="AG118" i="24"/>
  <c r="AG119" i="24"/>
  <c r="AG120" i="24"/>
  <c r="AG121" i="24"/>
  <c r="AG122" i="24"/>
  <c r="AG123" i="24"/>
  <c r="AG124" i="24"/>
  <c r="AG125" i="24"/>
  <c r="AG126" i="24"/>
  <c r="AG127" i="24"/>
  <c r="AG128" i="24"/>
  <c r="AG129" i="24"/>
  <c r="AG130" i="24"/>
  <c r="AG131" i="24"/>
  <c r="AG132" i="24"/>
  <c r="AG133" i="24"/>
  <c r="AG134" i="24"/>
  <c r="AG135" i="24"/>
  <c r="AG136" i="24"/>
  <c r="AG137" i="24"/>
  <c r="AG138" i="24"/>
  <c r="AG139" i="24"/>
  <c r="AG140" i="24"/>
  <c r="AG141" i="24"/>
  <c r="AG142" i="24"/>
  <c r="AG143" i="24"/>
  <c r="AG144" i="24"/>
  <c r="AG145" i="24"/>
  <c r="AG146" i="24"/>
  <c r="AG147" i="24"/>
  <c r="AG148" i="24"/>
  <c r="AG149" i="24"/>
  <c r="AG150" i="24"/>
  <c r="AG151" i="24"/>
  <c r="AG152" i="24"/>
  <c r="AG153" i="24"/>
  <c r="AG154" i="24"/>
  <c r="AG155" i="24"/>
  <c r="AG156" i="24"/>
  <c r="AG157" i="24"/>
  <c r="AG158" i="24"/>
  <c r="AG159" i="24"/>
  <c r="AG160" i="24"/>
  <c r="AG161" i="24"/>
  <c r="AG162" i="24"/>
  <c r="AG163" i="24"/>
  <c r="AG164" i="24"/>
  <c r="AG165" i="24"/>
  <c r="AG166" i="24"/>
  <c r="AG167" i="24"/>
  <c r="AG168" i="24"/>
  <c r="AG169" i="24"/>
  <c r="AG170" i="24"/>
  <c r="AG171" i="24"/>
  <c r="AG172" i="24"/>
  <c r="AG173" i="24"/>
  <c r="AG174" i="24"/>
  <c r="AG175" i="24"/>
  <c r="AG176" i="24"/>
  <c r="AG177" i="24"/>
  <c r="AG178" i="24"/>
  <c r="AG179" i="24"/>
  <c r="AG180" i="24"/>
  <c r="AG181" i="24"/>
  <c r="AG182" i="24"/>
  <c r="AG183" i="24"/>
  <c r="AG184" i="24"/>
  <c r="AG185" i="24"/>
  <c r="AG186" i="24"/>
  <c r="AG187" i="24"/>
  <c r="AG188" i="24"/>
  <c r="AG189" i="24"/>
  <c r="AG190" i="24"/>
  <c r="AG191" i="24"/>
  <c r="AG192" i="24"/>
  <c r="AG193" i="24"/>
  <c r="AG194" i="24"/>
  <c r="AG195" i="24"/>
  <c r="AG196" i="24"/>
  <c r="AG197" i="24"/>
  <c r="AG198" i="24"/>
  <c r="AG199" i="24"/>
  <c r="AG200" i="24"/>
  <c r="AG201" i="24"/>
  <c r="AG202" i="24"/>
  <c r="AG203" i="24"/>
  <c r="AG204" i="24"/>
  <c r="AG205" i="24"/>
  <c r="AG206" i="24"/>
  <c r="AG207" i="24"/>
  <c r="AG208" i="24"/>
  <c r="AG209" i="24"/>
  <c r="AG210" i="24"/>
  <c r="AG211" i="24"/>
  <c r="AG212" i="24"/>
  <c r="AG213" i="24"/>
  <c r="AG214" i="24"/>
  <c r="AG215" i="24"/>
  <c r="AG216" i="24"/>
  <c r="AG217" i="24"/>
  <c r="AG218" i="24"/>
  <c r="AG219" i="24"/>
  <c r="AG220" i="24"/>
  <c r="AG221" i="24"/>
  <c r="AG222" i="24"/>
  <c r="AG223" i="24"/>
  <c r="AG224" i="24"/>
  <c r="AG225" i="24"/>
  <c r="AG226" i="24"/>
  <c r="AG227" i="24"/>
  <c r="AG228" i="24"/>
  <c r="AG229" i="24"/>
  <c r="AG230" i="24"/>
  <c r="AG231" i="24"/>
  <c r="AG232" i="24"/>
  <c r="AG233" i="24"/>
  <c r="AG234" i="24"/>
  <c r="AG235" i="24"/>
  <c r="AG236" i="24"/>
  <c r="AG237" i="24"/>
  <c r="AG238" i="24"/>
  <c r="AG239" i="24"/>
  <c r="AG240" i="24"/>
  <c r="AG241" i="24"/>
  <c r="AG242" i="24"/>
  <c r="AG243" i="24"/>
  <c r="AG244" i="24"/>
  <c r="AG245" i="24"/>
  <c r="AG246" i="24"/>
  <c r="AG247" i="24"/>
  <c r="AG248" i="24"/>
  <c r="AG249" i="24"/>
  <c r="AG250" i="24"/>
  <c r="AG251" i="24"/>
  <c r="AG252" i="24"/>
  <c r="AH4" i="24"/>
  <c r="AH5" i="24"/>
  <c r="AH6" i="24"/>
  <c r="AH7" i="24"/>
  <c r="AH8" i="24"/>
  <c r="AH9" i="24"/>
  <c r="AH10" i="24"/>
  <c r="AH11" i="24"/>
  <c r="AH12" i="24"/>
  <c r="AH13" i="24"/>
  <c r="AH14" i="24"/>
  <c r="AH15" i="24"/>
  <c r="AH16" i="24"/>
  <c r="AH17" i="24"/>
  <c r="AH18" i="24"/>
  <c r="AH19" i="24"/>
  <c r="AH20" i="24"/>
  <c r="AH21" i="24"/>
  <c r="AH22" i="24"/>
  <c r="AH23" i="24"/>
  <c r="AH24" i="24"/>
  <c r="AH25" i="24"/>
  <c r="AH26" i="24"/>
  <c r="AH27" i="24"/>
  <c r="AH28" i="24"/>
  <c r="AH29" i="24"/>
  <c r="AH30" i="24"/>
  <c r="AH31" i="24"/>
  <c r="AH32" i="24"/>
  <c r="AH33" i="24"/>
  <c r="AH34" i="24"/>
  <c r="AH35" i="24"/>
  <c r="AH36" i="24"/>
  <c r="AH37" i="24"/>
  <c r="AH38" i="24"/>
  <c r="AH39" i="24"/>
  <c r="AH40" i="24"/>
  <c r="AH41" i="24"/>
  <c r="AH42" i="24"/>
  <c r="AH43" i="24"/>
  <c r="AH44" i="24"/>
  <c r="AH45" i="24"/>
  <c r="AH46" i="24"/>
  <c r="AH47" i="24"/>
  <c r="AH48" i="24"/>
  <c r="AH49" i="24"/>
  <c r="AH50" i="24"/>
  <c r="AH51" i="24"/>
  <c r="AH52" i="24"/>
  <c r="AH53" i="24"/>
  <c r="AH54" i="24"/>
  <c r="AH55" i="24"/>
  <c r="AH56" i="24"/>
  <c r="AH57" i="24"/>
  <c r="AH58" i="24"/>
  <c r="AH59" i="24"/>
  <c r="AH60" i="24"/>
  <c r="AH61" i="24"/>
  <c r="AH62" i="24"/>
  <c r="AH63" i="24"/>
  <c r="AH64" i="24"/>
  <c r="AH65" i="24"/>
  <c r="AH66" i="24"/>
  <c r="AH67" i="24"/>
  <c r="AH68" i="24"/>
  <c r="AH69" i="24"/>
  <c r="AH70" i="24"/>
  <c r="AH71" i="24"/>
  <c r="AH72" i="24"/>
  <c r="AH73" i="24"/>
  <c r="AH74" i="24"/>
  <c r="AH75" i="24"/>
  <c r="AH76" i="24"/>
  <c r="AH77" i="24"/>
  <c r="AH78" i="24"/>
  <c r="AH79" i="24"/>
  <c r="AH80" i="24"/>
  <c r="AH81" i="24"/>
  <c r="AH82" i="24"/>
  <c r="AH83" i="24"/>
  <c r="AH84" i="24"/>
  <c r="AH85" i="24"/>
  <c r="AH86" i="24"/>
  <c r="AH87" i="24"/>
  <c r="AH88" i="24"/>
  <c r="AH89" i="24"/>
  <c r="AH90" i="24"/>
  <c r="AH91" i="24"/>
  <c r="AH92" i="24"/>
  <c r="AH93" i="24"/>
  <c r="AH94" i="24"/>
  <c r="AH95" i="24"/>
  <c r="AH96" i="24"/>
  <c r="AH97" i="24"/>
  <c r="AH98" i="24"/>
  <c r="AH99" i="24"/>
  <c r="AH100" i="24"/>
  <c r="AH101" i="24"/>
  <c r="AH102" i="24"/>
  <c r="AH103" i="24"/>
  <c r="AH104" i="24"/>
  <c r="AH105" i="24"/>
  <c r="AH106" i="24"/>
  <c r="AH107" i="24"/>
  <c r="AH108" i="24"/>
  <c r="AH109" i="24"/>
  <c r="AH110" i="24"/>
  <c r="AH111" i="24"/>
  <c r="AH112" i="24"/>
  <c r="AH113" i="24"/>
  <c r="AH114" i="24"/>
  <c r="AH115" i="24"/>
  <c r="AH116" i="24"/>
  <c r="AH117" i="24"/>
  <c r="AH118" i="24"/>
  <c r="AH119" i="24"/>
  <c r="AH120" i="24"/>
  <c r="AH121" i="24"/>
  <c r="AH122" i="24"/>
  <c r="AH123" i="24"/>
  <c r="AH124" i="24"/>
  <c r="AH125" i="24"/>
  <c r="AH126" i="24"/>
  <c r="AH127" i="24"/>
  <c r="AH128" i="24"/>
  <c r="AH129" i="24"/>
  <c r="AH130" i="24"/>
  <c r="AH131" i="24"/>
  <c r="AH132" i="24"/>
  <c r="AH133" i="24"/>
  <c r="AH134" i="24"/>
  <c r="AH135" i="24"/>
  <c r="AH136" i="24"/>
  <c r="AH137" i="24"/>
  <c r="AH138" i="24"/>
  <c r="AH139" i="24"/>
  <c r="AH140" i="24"/>
  <c r="AH141" i="24"/>
  <c r="AH142" i="24"/>
  <c r="AH143" i="24"/>
  <c r="AH144" i="24"/>
  <c r="AH145" i="24"/>
  <c r="AH146" i="24"/>
  <c r="AH147" i="24"/>
  <c r="AH148" i="24"/>
  <c r="AH149" i="24"/>
  <c r="AH150" i="24"/>
  <c r="AH151" i="24"/>
  <c r="AH152" i="24"/>
  <c r="AH153" i="24"/>
  <c r="AH154" i="24"/>
  <c r="AH155" i="24"/>
  <c r="AH156" i="24"/>
  <c r="AH157" i="24"/>
  <c r="AH158" i="24"/>
  <c r="AH159" i="24"/>
  <c r="AH160" i="24"/>
  <c r="AH161" i="24"/>
  <c r="AH162" i="24"/>
  <c r="AH163" i="24"/>
  <c r="AH164" i="24"/>
  <c r="AH165" i="24"/>
  <c r="AH166" i="24"/>
  <c r="AH167" i="24"/>
  <c r="AH168" i="24"/>
  <c r="AH169" i="24"/>
  <c r="AH170" i="24"/>
  <c r="AH171" i="24"/>
  <c r="AH172" i="24"/>
  <c r="AH173" i="24"/>
  <c r="AH174" i="24"/>
  <c r="AH175" i="24"/>
  <c r="AH176" i="24"/>
  <c r="AH177" i="24"/>
  <c r="AH178" i="24"/>
  <c r="AH179" i="24"/>
  <c r="AH180" i="24"/>
  <c r="AH181" i="24"/>
  <c r="AH182" i="24"/>
  <c r="AH183" i="24"/>
  <c r="AH184" i="24"/>
  <c r="AH185" i="24"/>
  <c r="AH186" i="24"/>
  <c r="AH187" i="24"/>
  <c r="AH188" i="24"/>
  <c r="AH189" i="24"/>
  <c r="AH190" i="24"/>
  <c r="AH191" i="24"/>
  <c r="AH192" i="24"/>
  <c r="AH193" i="24"/>
  <c r="AH194" i="24"/>
  <c r="AH195" i="24"/>
  <c r="AH196" i="24"/>
  <c r="AH197" i="24"/>
  <c r="AH198" i="24"/>
  <c r="AH199" i="24"/>
  <c r="AH200" i="24"/>
  <c r="AH201" i="24"/>
  <c r="AH202" i="24"/>
  <c r="AH203" i="24"/>
  <c r="AH204" i="24"/>
  <c r="AH205" i="24"/>
  <c r="AH206" i="24"/>
  <c r="AH207" i="24"/>
  <c r="AH208" i="24"/>
  <c r="AH209" i="24"/>
  <c r="AH210" i="24"/>
  <c r="AH211" i="24"/>
  <c r="AH212" i="24"/>
  <c r="AH213" i="24"/>
  <c r="AH214" i="24"/>
  <c r="AH215" i="24"/>
  <c r="AH216" i="24"/>
  <c r="AH217" i="24"/>
  <c r="AH218" i="24"/>
  <c r="AH219" i="24"/>
  <c r="AH220" i="24"/>
  <c r="AH221" i="24"/>
  <c r="AH222" i="24"/>
  <c r="AH223" i="24"/>
  <c r="AH224" i="24"/>
  <c r="AH225" i="24"/>
  <c r="AH226" i="24"/>
  <c r="AH227" i="24"/>
  <c r="AH228" i="24"/>
  <c r="AH229" i="24"/>
  <c r="AH230" i="24"/>
  <c r="AH231" i="24"/>
  <c r="AH232" i="24"/>
  <c r="AH233" i="24"/>
  <c r="AH234" i="24"/>
  <c r="AH235" i="24"/>
  <c r="AH236" i="24"/>
  <c r="AH237" i="24"/>
  <c r="AH238" i="24"/>
  <c r="AH239" i="24"/>
  <c r="AH240" i="24"/>
  <c r="AH241" i="24"/>
  <c r="AH242" i="24"/>
  <c r="AH243" i="24"/>
  <c r="AH244" i="24"/>
  <c r="AH245" i="24"/>
  <c r="AH246" i="24"/>
  <c r="AH247" i="24"/>
  <c r="AH248" i="24"/>
  <c r="AH249" i="24"/>
  <c r="AH250" i="24"/>
  <c r="AH251" i="24"/>
  <c r="AH252" i="24"/>
  <c r="AH253" i="24"/>
  <c r="AI4" i="24"/>
  <c r="AI5" i="24"/>
  <c r="AI6" i="24"/>
  <c r="AI7" i="24"/>
  <c r="AI8" i="24"/>
  <c r="AI9" i="24"/>
  <c r="AI10" i="24"/>
  <c r="AI11" i="24"/>
  <c r="AI12" i="24"/>
  <c r="AI13" i="24"/>
  <c r="AI14" i="24"/>
  <c r="AI15" i="24"/>
  <c r="AI16" i="24"/>
  <c r="AI17" i="24"/>
  <c r="AI18" i="24"/>
  <c r="AI19" i="24"/>
  <c r="AI20" i="24"/>
  <c r="AI21" i="24"/>
  <c r="AI22" i="24"/>
  <c r="AI23" i="24"/>
  <c r="AI24" i="24"/>
  <c r="AI25" i="24"/>
  <c r="AI26" i="24"/>
  <c r="AI27" i="24"/>
  <c r="AI28" i="24"/>
  <c r="AI29" i="24"/>
  <c r="AI30" i="24"/>
  <c r="AI31" i="24"/>
  <c r="AI32" i="24"/>
  <c r="AI33" i="24"/>
  <c r="AI34" i="24"/>
  <c r="AI35" i="24"/>
  <c r="AI36" i="24"/>
  <c r="AI37" i="24"/>
  <c r="AI38" i="24"/>
  <c r="AI39" i="24"/>
  <c r="AI40" i="24"/>
  <c r="AI41" i="24"/>
  <c r="AI42" i="24"/>
  <c r="AI43" i="24"/>
  <c r="AI44" i="24"/>
  <c r="AI45" i="24"/>
  <c r="AI46" i="24"/>
  <c r="AI47" i="24"/>
  <c r="AI48" i="24"/>
  <c r="AI49" i="24"/>
  <c r="AI50" i="24"/>
  <c r="AI51" i="24"/>
  <c r="AI52" i="24"/>
  <c r="AI53" i="24"/>
  <c r="AI54" i="24"/>
  <c r="AI55" i="24"/>
  <c r="AI56" i="24"/>
  <c r="AI57" i="24"/>
  <c r="AI58" i="24"/>
  <c r="AI59" i="24"/>
  <c r="AI60" i="24"/>
  <c r="AI61" i="24"/>
  <c r="AI62" i="24"/>
  <c r="AI63" i="24"/>
  <c r="AI64" i="24"/>
  <c r="AI65" i="24"/>
  <c r="AI66" i="24"/>
  <c r="AI67" i="24"/>
  <c r="AI68" i="24"/>
  <c r="AI69" i="24"/>
  <c r="AI70" i="24"/>
  <c r="AI71" i="24"/>
  <c r="AI72" i="24"/>
  <c r="AI73" i="24"/>
  <c r="AI74" i="24"/>
  <c r="AI75" i="24"/>
  <c r="AI76" i="24"/>
  <c r="AI77" i="24"/>
  <c r="AI78" i="24"/>
  <c r="AI79" i="24"/>
  <c r="AI80" i="24"/>
  <c r="AI81" i="24"/>
  <c r="AI82" i="24"/>
  <c r="AI83" i="24"/>
  <c r="AI84" i="24"/>
  <c r="AI85" i="24"/>
  <c r="AI86" i="24"/>
  <c r="AI87" i="24"/>
  <c r="AI88" i="24"/>
  <c r="AI89" i="24"/>
  <c r="AI90" i="24"/>
  <c r="AI91" i="24"/>
  <c r="AI92" i="24"/>
  <c r="AI93" i="24"/>
  <c r="AI94" i="24"/>
  <c r="AI95" i="24"/>
  <c r="AI96" i="24"/>
  <c r="AI97" i="24"/>
  <c r="AI98" i="24"/>
  <c r="AI99" i="24"/>
  <c r="AI100" i="24"/>
  <c r="AI101" i="24"/>
  <c r="AI102" i="24"/>
  <c r="AI103" i="24"/>
  <c r="AI104" i="24"/>
  <c r="AI105" i="24"/>
  <c r="AI106" i="24"/>
  <c r="AI107" i="24"/>
  <c r="AI108" i="24"/>
  <c r="AI109" i="24"/>
  <c r="AI110" i="24"/>
  <c r="AI111" i="24"/>
  <c r="AI112" i="24"/>
  <c r="AI113" i="24"/>
  <c r="AI114" i="24"/>
  <c r="AI115" i="24"/>
  <c r="AI116" i="24"/>
  <c r="AI117" i="24"/>
  <c r="AI118" i="24"/>
  <c r="AI119" i="24"/>
  <c r="AI120" i="24"/>
  <c r="AI121" i="24"/>
  <c r="AI122" i="24"/>
  <c r="AI123" i="24"/>
  <c r="AI124" i="24"/>
  <c r="AI125" i="24"/>
  <c r="AI126" i="24"/>
  <c r="AI127" i="24"/>
  <c r="AI128" i="24"/>
  <c r="AI129" i="24"/>
  <c r="AI130" i="24"/>
  <c r="AI131" i="24"/>
  <c r="AI132" i="24"/>
  <c r="AI133" i="24"/>
  <c r="AI134" i="24"/>
  <c r="AI135" i="24"/>
  <c r="AI136" i="24"/>
  <c r="AI137" i="24"/>
  <c r="AI138" i="24"/>
  <c r="AI139" i="24"/>
  <c r="AI140" i="24"/>
  <c r="AI141" i="24"/>
  <c r="AI142" i="24"/>
  <c r="AI143" i="24"/>
  <c r="AI144" i="24"/>
  <c r="AI145" i="24"/>
  <c r="AI146" i="24"/>
  <c r="AI147" i="24"/>
  <c r="AI148" i="24"/>
  <c r="AI149" i="24"/>
  <c r="AI150" i="24"/>
  <c r="AI151" i="24"/>
  <c r="AI152" i="24"/>
  <c r="AI153" i="24"/>
  <c r="AI154" i="24"/>
  <c r="AI155" i="24"/>
  <c r="AI156" i="24"/>
  <c r="AI157" i="24"/>
  <c r="AI158" i="24"/>
  <c r="AI159" i="24"/>
  <c r="AI160" i="24"/>
  <c r="AI161" i="24"/>
  <c r="AI162" i="24"/>
  <c r="AI163" i="24"/>
  <c r="AI164" i="24"/>
  <c r="AI165" i="24"/>
  <c r="AI166" i="24"/>
  <c r="AI167" i="24"/>
  <c r="AI168" i="24"/>
  <c r="AI169" i="24"/>
  <c r="AI170" i="24"/>
  <c r="AI171" i="24"/>
  <c r="AI172" i="24"/>
  <c r="AI173" i="24"/>
  <c r="AI174" i="24"/>
  <c r="AI175" i="24"/>
  <c r="AI176" i="24"/>
  <c r="AI177" i="24"/>
  <c r="AI178" i="24"/>
  <c r="AI179" i="24"/>
  <c r="AI180" i="24"/>
  <c r="AI181" i="24"/>
  <c r="AI182" i="24"/>
  <c r="AI183" i="24"/>
  <c r="AI184" i="24"/>
  <c r="AI185" i="24"/>
  <c r="AI186" i="24"/>
  <c r="AI187" i="24"/>
  <c r="AI188" i="24"/>
  <c r="AI189" i="24"/>
  <c r="AI190" i="24"/>
  <c r="AI191" i="24"/>
  <c r="AI192" i="24"/>
  <c r="AI193" i="24"/>
  <c r="AI194" i="24"/>
  <c r="AI195" i="24"/>
  <c r="AI196" i="24"/>
  <c r="AI197" i="24"/>
  <c r="AI198" i="24"/>
  <c r="AI199" i="24"/>
  <c r="AI200" i="24"/>
  <c r="AI201" i="24"/>
  <c r="AI202" i="24"/>
  <c r="AI203" i="24"/>
  <c r="AI204" i="24"/>
  <c r="AI205" i="24"/>
  <c r="AI206" i="24"/>
  <c r="AI207" i="24"/>
  <c r="AI208" i="24"/>
  <c r="AI209" i="24"/>
  <c r="AI210" i="24"/>
  <c r="AI211" i="24"/>
  <c r="AI212" i="24"/>
  <c r="AI213" i="24"/>
  <c r="AI214" i="24"/>
  <c r="AI215" i="24"/>
  <c r="AI216" i="24"/>
  <c r="AI217" i="24"/>
  <c r="AI218" i="24"/>
  <c r="AI219" i="24"/>
  <c r="AI220" i="24"/>
  <c r="AI221" i="24"/>
  <c r="AI222" i="24"/>
  <c r="AI223" i="24"/>
  <c r="AI224" i="24"/>
  <c r="AI225" i="24"/>
  <c r="AI226" i="24"/>
  <c r="AI227" i="24"/>
  <c r="AI228" i="24"/>
  <c r="AI229" i="24"/>
  <c r="AI230" i="24"/>
  <c r="AI231" i="24"/>
  <c r="AI232" i="24"/>
  <c r="AI233" i="24"/>
  <c r="AI234" i="24"/>
  <c r="AI235" i="24"/>
  <c r="AI236" i="24"/>
  <c r="AI237" i="24"/>
  <c r="AI238" i="24"/>
  <c r="AI239" i="24"/>
  <c r="AI240" i="24"/>
  <c r="AI241" i="24"/>
  <c r="AI242" i="24"/>
  <c r="AI243" i="24"/>
  <c r="AI244" i="24"/>
  <c r="AI245" i="24"/>
  <c r="AI246" i="24"/>
  <c r="AI247" i="24"/>
  <c r="AI248" i="24"/>
  <c r="AI249" i="24"/>
  <c r="AI250" i="24"/>
  <c r="AI251" i="24"/>
  <c r="AI252" i="24"/>
  <c r="AI253" i="24"/>
  <c r="AJ6" i="24"/>
  <c r="AJ7" i="24"/>
  <c r="AJ8" i="24"/>
  <c r="AJ9" i="24"/>
  <c r="AJ10" i="24"/>
  <c r="AJ11" i="24"/>
  <c r="AJ12" i="24"/>
  <c r="AJ13" i="24"/>
  <c r="AJ14" i="24"/>
  <c r="AJ15" i="24"/>
  <c r="AJ16" i="24"/>
  <c r="AJ17" i="24"/>
  <c r="AJ18" i="24"/>
  <c r="AJ19" i="24"/>
  <c r="AJ20" i="24"/>
  <c r="AJ21" i="24"/>
  <c r="AJ22" i="24"/>
  <c r="AJ23" i="24"/>
  <c r="AJ24" i="24"/>
  <c r="AJ25" i="24"/>
  <c r="AJ26" i="24"/>
  <c r="AJ27" i="24"/>
  <c r="AJ28" i="24"/>
  <c r="AJ29" i="24"/>
  <c r="AJ30" i="24"/>
  <c r="AJ31" i="24"/>
  <c r="AJ32" i="24"/>
  <c r="AJ33" i="24"/>
  <c r="AJ34" i="24"/>
  <c r="AJ35" i="24"/>
  <c r="AJ36" i="24"/>
  <c r="AJ37" i="24"/>
  <c r="AJ38" i="24"/>
  <c r="AJ39" i="24"/>
  <c r="AJ40" i="24"/>
  <c r="AJ41" i="24"/>
  <c r="AJ42" i="24"/>
  <c r="AJ43" i="24"/>
  <c r="AJ44" i="24"/>
  <c r="AJ45" i="24"/>
  <c r="AJ46" i="24"/>
  <c r="AJ47" i="24"/>
  <c r="AJ48" i="24"/>
  <c r="AJ49" i="24"/>
  <c r="AJ50" i="24"/>
  <c r="AJ51" i="24"/>
  <c r="AJ52" i="24"/>
  <c r="AJ53" i="24"/>
  <c r="AJ54" i="24"/>
  <c r="AJ55" i="24"/>
  <c r="AJ56" i="24"/>
  <c r="AJ57" i="24"/>
  <c r="AJ58" i="24"/>
  <c r="AJ59" i="24"/>
  <c r="AJ60" i="24"/>
  <c r="AJ61" i="24"/>
  <c r="AJ62" i="24"/>
  <c r="AJ63" i="24"/>
  <c r="AJ64" i="24"/>
  <c r="AJ65" i="24"/>
  <c r="AJ66" i="24"/>
  <c r="AJ67" i="24"/>
  <c r="AJ68" i="24"/>
  <c r="AJ69" i="24"/>
  <c r="AJ70" i="24"/>
  <c r="AJ71" i="24"/>
  <c r="AJ72" i="24"/>
  <c r="AJ73" i="24"/>
  <c r="AJ74" i="24"/>
  <c r="AJ75" i="24"/>
  <c r="AJ76" i="24"/>
  <c r="AJ77" i="24"/>
  <c r="AJ78" i="24"/>
  <c r="AJ79" i="24"/>
  <c r="AJ80" i="24"/>
  <c r="AJ81" i="24"/>
  <c r="AJ82" i="24"/>
  <c r="AJ83" i="24"/>
  <c r="AJ84" i="24"/>
  <c r="AJ85" i="24"/>
  <c r="AJ86" i="24"/>
  <c r="AJ87" i="24"/>
  <c r="AJ88" i="24"/>
  <c r="AJ89" i="24"/>
  <c r="AJ90" i="24"/>
  <c r="AJ91" i="24"/>
  <c r="AJ92" i="24"/>
  <c r="AJ93" i="24"/>
  <c r="AJ94" i="24"/>
  <c r="AJ95" i="24"/>
  <c r="AJ96" i="24"/>
  <c r="AJ97" i="24"/>
  <c r="AJ98" i="24"/>
  <c r="AJ99" i="24"/>
  <c r="AJ100" i="24"/>
  <c r="AJ101" i="24"/>
  <c r="AJ102" i="24"/>
  <c r="AJ103" i="24"/>
  <c r="AJ104" i="24"/>
  <c r="AJ105" i="24"/>
  <c r="AJ106" i="24"/>
  <c r="AJ107" i="24"/>
  <c r="AJ108" i="24"/>
  <c r="AJ109" i="24"/>
  <c r="AJ110" i="24"/>
  <c r="AJ111" i="24"/>
  <c r="AJ112" i="24"/>
  <c r="AJ113" i="24"/>
  <c r="AJ114" i="24"/>
  <c r="AJ115" i="24"/>
  <c r="AJ116" i="24"/>
  <c r="AJ117" i="24"/>
  <c r="AJ118" i="24"/>
  <c r="AJ119" i="24"/>
  <c r="AJ120" i="24"/>
  <c r="AJ121" i="24"/>
  <c r="AJ122" i="24"/>
  <c r="AJ123" i="24"/>
  <c r="AJ124" i="24"/>
  <c r="AJ125" i="24"/>
  <c r="AJ126" i="24"/>
  <c r="AJ127" i="24"/>
  <c r="AJ128" i="24"/>
  <c r="AJ129" i="24"/>
  <c r="AJ130" i="24"/>
  <c r="AJ131" i="24"/>
  <c r="AJ132" i="24"/>
  <c r="AJ133" i="24"/>
  <c r="AJ134" i="24"/>
  <c r="AJ135" i="24"/>
  <c r="AJ136" i="24"/>
  <c r="AJ137" i="24"/>
  <c r="AJ138" i="24"/>
  <c r="AJ139" i="24"/>
  <c r="AJ140" i="24"/>
  <c r="AJ141" i="24"/>
  <c r="AJ142" i="24"/>
  <c r="AJ143" i="24"/>
  <c r="AJ144" i="24"/>
  <c r="AJ145" i="24"/>
  <c r="AJ146" i="24"/>
  <c r="AJ147" i="24"/>
  <c r="AJ148" i="24"/>
  <c r="AJ149" i="24"/>
  <c r="AJ150" i="24"/>
  <c r="AJ151" i="24"/>
  <c r="AJ152" i="24"/>
  <c r="AJ153" i="24"/>
  <c r="AJ154" i="24"/>
  <c r="AJ155" i="24"/>
  <c r="AJ156" i="24"/>
  <c r="AJ157" i="24"/>
  <c r="AJ158" i="24"/>
  <c r="AJ159" i="24"/>
  <c r="AJ160" i="24"/>
  <c r="AJ161" i="24"/>
  <c r="AJ162" i="24"/>
  <c r="AJ163" i="24"/>
  <c r="AJ164" i="24"/>
  <c r="AJ165" i="24"/>
  <c r="AJ166" i="24"/>
  <c r="AJ167" i="24"/>
  <c r="AJ168" i="24"/>
  <c r="AJ169" i="24"/>
  <c r="AJ170" i="24"/>
  <c r="AJ171" i="24"/>
  <c r="AJ172" i="24"/>
  <c r="AJ173" i="24"/>
  <c r="AJ174" i="24"/>
  <c r="AJ175" i="24"/>
  <c r="AJ176" i="24"/>
  <c r="AJ177" i="24"/>
  <c r="AJ178" i="24"/>
  <c r="AJ179" i="24"/>
  <c r="AJ180" i="24"/>
  <c r="AJ181" i="24"/>
  <c r="AJ182" i="24"/>
  <c r="AJ183" i="24"/>
  <c r="AJ184" i="24"/>
  <c r="AJ185" i="24"/>
  <c r="AJ186" i="24"/>
  <c r="AJ187" i="24"/>
  <c r="AJ188" i="24"/>
  <c r="AJ189" i="24"/>
  <c r="AJ190" i="24"/>
  <c r="AJ191" i="24"/>
  <c r="AJ192" i="24"/>
  <c r="AJ193" i="24"/>
  <c r="AJ194" i="24"/>
  <c r="AJ195" i="24"/>
  <c r="AJ196" i="24"/>
  <c r="AJ197" i="24"/>
  <c r="AJ198" i="24"/>
  <c r="AJ199" i="24"/>
  <c r="AJ200" i="24"/>
  <c r="AJ201" i="24"/>
  <c r="AJ202" i="24"/>
  <c r="AJ203" i="24"/>
  <c r="AJ204" i="24"/>
  <c r="AJ205" i="24"/>
  <c r="AJ206" i="24"/>
  <c r="AJ207" i="24"/>
  <c r="AJ208" i="24"/>
  <c r="AJ209" i="24"/>
  <c r="AJ210" i="24"/>
  <c r="AJ211" i="24"/>
  <c r="AJ212" i="24"/>
  <c r="AJ213" i="24"/>
  <c r="AJ214" i="24"/>
  <c r="AJ215" i="24"/>
  <c r="AJ216" i="24"/>
  <c r="AJ217" i="24"/>
  <c r="AJ218" i="24"/>
  <c r="AJ219" i="24"/>
  <c r="AJ220" i="24"/>
  <c r="AJ221" i="24"/>
  <c r="AJ222" i="24"/>
  <c r="AJ223" i="24"/>
  <c r="AJ224" i="24"/>
  <c r="AJ225" i="24"/>
  <c r="AJ226" i="24"/>
  <c r="AJ227" i="24"/>
  <c r="AJ228" i="24"/>
  <c r="AJ229" i="24"/>
  <c r="AJ230" i="24"/>
  <c r="AJ231" i="24"/>
  <c r="AJ232" i="24"/>
  <c r="AJ233" i="24"/>
  <c r="AJ234" i="24"/>
  <c r="AJ235" i="24"/>
  <c r="AJ236" i="24"/>
  <c r="AJ237" i="24"/>
  <c r="AJ238" i="24"/>
  <c r="AJ239" i="24"/>
  <c r="AJ240" i="24"/>
  <c r="AJ241" i="24"/>
  <c r="AJ242" i="24"/>
  <c r="AJ243" i="24"/>
  <c r="AJ244" i="24"/>
  <c r="AJ245" i="24"/>
  <c r="AJ246" i="24"/>
  <c r="AJ247" i="24"/>
  <c r="AJ248" i="24"/>
  <c r="AJ249" i="24"/>
  <c r="AJ250" i="24"/>
  <c r="AJ251" i="24"/>
  <c r="AJ252" i="24"/>
  <c r="AJ253" i="24"/>
  <c r="AK4" i="24"/>
  <c r="AK5" i="24"/>
  <c r="AK6" i="24"/>
  <c r="AK7" i="24"/>
  <c r="AK8" i="24"/>
  <c r="AK9" i="24"/>
  <c r="AK10" i="24"/>
  <c r="AK11" i="24"/>
  <c r="AK12" i="24"/>
  <c r="AK13" i="24"/>
  <c r="AK14" i="24"/>
  <c r="AK15" i="24"/>
  <c r="AK16" i="24"/>
  <c r="AK17" i="24"/>
  <c r="AK18" i="24"/>
  <c r="AK19" i="24"/>
  <c r="AK20" i="24"/>
  <c r="AK21" i="24"/>
  <c r="AK22" i="24"/>
  <c r="AK23" i="24"/>
  <c r="AK24" i="24"/>
  <c r="AK25" i="24"/>
  <c r="AK26" i="24"/>
  <c r="AK27" i="24"/>
  <c r="AK28" i="24"/>
  <c r="AK29" i="24"/>
  <c r="AK30" i="24"/>
  <c r="AK31" i="24"/>
  <c r="AK32" i="24"/>
  <c r="AK33" i="24"/>
  <c r="AK34" i="24"/>
  <c r="AK35" i="24"/>
  <c r="AK36" i="24"/>
  <c r="AK37" i="24"/>
  <c r="AK38" i="24"/>
  <c r="AK39" i="24"/>
  <c r="AK40" i="24"/>
  <c r="AK41" i="24"/>
  <c r="AK42" i="24"/>
  <c r="AK43" i="24"/>
  <c r="AK44" i="24"/>
  <c r="AK45" i="24"/>
  <c r="AK46" i="24"/>
  <c r="AK47" i="24"/>
  <c r="AK48" i="24"/>
  <c r="AK49" i="24"/>
  <c r="AK50" i="24"/>
  <c r="AK51" i="24"/>
  <c r="AK52" i="24"/>
  <c r="AK53" i="24"/>
  <c r="AK54" i="24"/>
  <c r="AK55" i="24"/>
  <c r="AK56" i="24"/>
  <c r="AK57" i="24"/>
  <c r="AK58" i="24"/>
  <c r="AK59" i="24"/>
  <c r="AK60" i="24"/>
  <c r="AK61" i="24"/>
  <c r="AK62" i="24"/>
  <c r="AK63" i="24"/>
  <c r="AK64" i="24"/>
  <c r="AK65" i="24"/>
  <c r="AK66" i="24"/>
  <c r="AK67" i="24"/>
  <c r="AK68" i="24"/>
  <c r="AK69" i="24"/>
  <c r="AK70" i="24"/>
  <c r="AK71" i="24"/>
  <c r="AK72" i="24"/>
  <c r="AK73" i="24"/>
  <c r="AK74" i="24"/>
  <c r="AK75" i="24"/>
  <c r="AK76" i="24"/>
  <c r="AK77" i="24"/>
  <c r="AK78" i="24"/>
  <c r="AK79" i="24"/>
  <c r="AK80" i="24"/>
  <c r="AK81" i="24"/>
  <c r="AK82" i="24"/>
  <c r="AK83" i="24"/>
  <c r="AK84" i="24"/>
  <c r="AK85" i="24"/>
  <c r="AK86" i="24"/>
  <c r="AK87" i="24"/>
  <c r="AK88" i="24"/>
  <c r="AK89" i="24"/>
  <c r="AK90" i="24"/>
  <c r="AK91" i="24"/>
  <c r="AK92" i="24"/>
  <c r="AK93" i="24"/>
  <c r="AK94" i="24"/>
  <c r="AK95" i="24"/>
  <c r="AK96" i="24"/>
  <c r="AK97" i="24"/>
  <c r="AK98" i="24"/>
  <c r="AK99" i="24"/>
  <c r="AK100" i="24"/>
  <c r="AK101" i="24"/>
  <c r="AK102" i="24"/>
  <c r="AK103" i="24"/>
  <c r="AK104" i="24"/>
  <c r="AK105" i="24"/>
  <c r="AK106" i="24"/>
  <c r="AK107" i="24"/>
  <c r="AK108" i="24"/>
  <c r="AK109" i="24"/>
  <c r="AK110" i="24"/>
  <c r="AK111" i="24"/>
  <c r="AK112" i="24"/>
  <c r="AK113" i="24"/>
  <c r="AK114" i="24"/>
  <c r="AK115" i="24"/>
  <c r="AK116" i="24"/>
  <c r="AK117" i="24"/>
  <c r="AK118" i="24"/>
  <c r="AK119" i="24"/>
  <c r="AK120" i="24"/>
  <c r="AK121" i="24"/>
  <c r="AK122" i="24"/>
  <c r="AK123" i="24"/>
  <c r="AK124" i="24"/>
  <c r="AK125" i="24"/>
  <c r="AK126" i="24"/>
  <c r="AK127" i="24"/>
  <c r="AK128" i="24"/>
  <c r="AK129" i="24"/>
  <c r="AK130" i="24"/>
  <c r="AK131" i="24"/>
  <c r="AK132" i="24"/>
  <c r="AK133" i="24"/>
  <c r="AK134" i="24"/>
  <c r="AK135" i="24"/>
  <c r="AK136" i="24"/>
  <c r="AK137" i="24"/>
  <c r="AK138" i="24"/>
  <c r="AK139" i="24"/>
  <c r="AK140" i="24"/>
  <c r="AK141" i="24"/>
  <c r="AK142" i="24"/>
  <c r="AK143" i="24"/>
  <c r="AK144" i="24"/>
  <c r="AK145" i="24"/>
  <c r="AK146" i="24"/>
  <c r="AK147" i="24"/>
  <c r="AK148" i="24"/>
  <c r="AK149" i="24"/>
  <c r="AK150" i="24"/>
  <c r="AK151" i="24"/>
  <c r="AK152" i="24"/>
  <c r="AK153" i="24"/>
  <c r="AK154" i="24"/>
  <c r="AK155" i="24"/>
  <c r="AK156" i="24"/>
  <c r="AK157" i="24"/>
  <c r="AK158" i="24"/>
  <c r="AK159" i="24"/>
  <c r="AK160" i="24"/>
  <c r="AK161" i="24"/>
  <c r="AK162" i="24"/>
  <c r="AK163" i="24"/>
  <c r="AK164" i="24"/>
  <c r="AK165" i="24"/>
  <c r="AK166" i="24"/>
  <c r="AK167" i="24"/>
  <c r="AK168" i="24"/>
  <c r="AK169" i="24"/>
  <c r="AK170" i="24"/>
  <c r="AK171" i="24"/>
  <c r="AK172" i="24"/>
  <c r="AK173" i="24"/>
  <c r="AK174" i="24"/>
  <c r="AK175" i="24"/>
  <c r="AK176" i="24"/>
  <c r="AK177" i="24"/>
  <c r="AK178" i="24"/>
  <c r="AK179" i="24"/>
  <c r="AK180" i="24"/>
  <c r="AK181" i="24"/>
  <c r="AK182" i="24"/>
  <c r="AK183" i="24"/>
  <c r="AK184" i="24"/>
  <c r="AK185" i="24"/>
  <c r="AK186" i="24"/>
  <c r="AK187" i="24"/>
  <c r="AK188" i="24"/>
  <c r="AK189" i="24"/>
  <c r="AK190" i="24"/>
  <c r="AK191" i="24"/>
  <c r="AK192" i="24"/>
  <c r="AK193" i="24"/>
  <c r="AK194" i="24"/>
  <c r="AK195" i="24"/>
  <c r="AK196" i="24"/>
  <c r="AK197" i="24"/>
  <c r="AK198" i="24"/>
  <c r="AK199" i="24"/>
  <c r="AK200" i="24"/>
  <c r="AK201" i="24"/>
  <c r="AK202" i="24"/>
  <c r="AK203" i="24"/>
  <c r="AK204" i="24"/>
  <c r="AK205" i="24"/>
  <c r="AK206" i="24"/>
  <c r="AK207" i="24"/>
  <c r="AK208" i="24"/>
  <c r="AK209" i="24"/>
  <c r="AK210" i="24"/>
  <c r="AK211" i="24"/>
  <c r="AK212" i="24"/>
  <c r="AK213" i="24"/>
  <c r="AK214" i="24"/>
  <c r="AK215" i="24"/>
  <c r="AK216" i="24"/>
  <c r="AK217" i="24"/>
  <c r="AK218" i="24"/>
  <c r="AK219" i="24"/>
  <c r="AK220" i="24"/>
  <c r="AK221" i="24"/>
  <c r="AK222" i="24"/>
  <c r="AK223" i="24"/>
  <c r="AK224" i="24"/>
  <c r="AK225" i="24"/>
  <c r="AK226" i="24"/>
  <c r="AK227" i="24"/>
  <c r="AK228" i="24"/>
  <c r="AK229" i="24"/>
  <c r="AK230" i="24"/>
  <c r="AK231" i="24"/>
  <c r="AK232" i="24"/>
  <c r="AK233" i="24"/>
  <c r="AK234" i="24"/>
  <c r="AK235" i="24"/>
  <c r="AK236" i="24"/>
  <c r="AK237" i="24"/>
  <c r="AK238" i="24"/>
  <c r="AK239" i="24"/>
  <c r="AK240" i="24"/>
  <c r="AK241" i="24"/>
  <c r="AK242" i="24"/>
  <c r="AK243" i="24"/>
  <c r="AK244" i="24"/>
  <c r="AK245" i="24"/>
  <c r="AK246" i="24"/>
  <c r="AK247" i="24"/>
  <c r="AK248" i="24"/>
  <c r="AK249" i="24"/>
  <c r="AK250" i="24"/>
  <c r="AK251" i="24"/>
  <c r="AK252" i="24"/>
  <c r="AK253" i="24"/>
  <c r="AL6" i="24"/>
  <c r="AL7" i="24"/>
  <c r="AL8" i="24"/>
  <c r="AL9" i="24"/>
  <c r="AL10" i="24"/>
  <c r="AL11" i="24"/>
  <c r="AL12" i="24"/>
  <c r="AL13" i="24"/>
  <c r="AL14" i="24"/>
  <c r="AL15" i="24"/>
  <c r="AL16" i="24"/>
  <c r="AL17" i="24"/>
  <c r="AL18" i="24"/>
  <c r="AL19" i="24"/>
  <c r="AL20" i="24"/>
  <c r="AL21" i="24"/>
  <c r="AL22" i="24"/>
  <c r="AL23" i="24"/>
  <c r="AL24" i="24"/>
  <c r="AL25" i="24"/>
  <c r="AL26" i="24"/>
  <c r="AL27" i="24"/>
  <c r="AL28" i="24"/>
  <c r="AL29" i="24"/>
  <c r="AL30" i="24"/>
  <c r="AL31" i="24"/>
  <c r="AL32" i="24"/>
  <c r="AL33" i="24"/>
  <c r="AL34" i="24"/>
  <c r="AL35" i="24"/>
  <c r="AL36" i="24"/>
  <c r="AL37" i="24"/>
  <c r="AL38" i="24"/>
  <c r="AL39" i="24"/>
  <c r="AL40" i="24"/>
  <c r="AL41" i="24"/>
  <c r="AL42" i="24"/>
  <c r="AL43" i="24"/>
  <c r="AL44" i="24"/>
  <c r="AL45" i="24"/>
  <c r="AL46" i="24"/>
  <c r="AL47" i="24"/>
  <c r="AL48" i="24"/>
  <c r="AL49" i="24"/>
  <c r="AL50" i="24"/>
  <c r="AL51" i="24"/>
  <c r="AL52" i="24"/>
  <c r="AL53" i="24"/>
  <c r="AL54" i="24"/>
  <c r="AL55" i="24"/>
  <c r="AL56" i="24"/>
  <c r="AL57" i="24"/>
  <c r="AL58" i="24"/>
  <c r="AL59" i="24"/>
  <c r="AL60" i="24"/>
  <c r="AL61" i="24"/>
  <c r="AL62" i="24"/>
  <c r="AL63" i="24"/>
  <c r="AL64" i="24"/>
  <c r="AL65" i="24"/>
  <c r="AL66" i="24"/>
  <c r="AL67" i="24"/>
  <c r="AL68" i="24"/>
  <c r="AL69" i="24"/>
  <c r="AL70" i="24"/>
  <c r="AL71" i="24"/>
  <c r="AL72" i="24"/>
  <c r="AL73" i="24"/>
  <c r="AL74" i="24"/>
  <c r="AL75" i="24"/>
  <c r="AL76" i="24"/>
  <c r="AL77" i="24"/>
  <c r="AL78" i="24"/>
  <c r="AL79" i="24"/>
  <c r="AL80" i="24"/>
  <c r="AL81" i="24"/>
  <c r="AL82" i="24"/>
  <c r="AL83" i="24"/>
  <c r="AL84" i="24"/>
  <c r="AL85" i="24"/>
  <c r="AL86" i="24"/>
  <c r="AL87" i="24"/>
  <c r="AL88" i="24"/>
  <c r="AL89" i="24"/>
  <c r="AL90" i="24"/>
  <c r="AL91" i="24"/>
  <c r="AL92" i="24"/>
  <c r="AL93" i="24"/>
  <c r="AL94" i="24"/>
  <c r="AL95" i="24"/>
  <c r="AL96" i="24"/>
  <c r="AL97" i="24"/>
  <c r="AL98" i="24"/>
  <c r="AL99" i="24"/>
  <c r="AL100" i="24"/>
  <c r="AL101" i="24"/>
  <c r="AL102" i="24"/>
  <c r="AL103" i="24"/>
  <c r="AL104" i="24"/>
  <c r="AL105" i="24"/>
  <c r="AL106" i="24"/>
  <c r="AL107" i="24"/>
  <c r="AL108" i="24"/>
  <c r="AL109" i="24"/>
  <c r="AL110" i="24"/>
  <c r="AL111" i="24"/>
  <c r="AL112" i="24"/>
  <c r="AL113" i="24"/>
  <c r="AL114" i="24"/>
  <c r="AL115" i="24"/>
  <c r="AL116" i="24"/>
  <c r="AL117" i="24"/>
  <c r="AL118" i="24"/>
  <c r="AL119" i="24"/>
  <c r="AL120" i="24"/>
  <c r="AL121" i="24"/>
  <c r="AL122" i="24"/>
  <c r="AL123" i="24"/>
  <c r="AL124" i="24"/>
  <c r="AL125" i="24"/>
  <c r="AL126" i="24"/>
  <c r="AL127" i="24"/>
  <c r="AL128" i="24"/>
  <c r="AL129" i="24"/>
  <c r="AL130" i="24"/>
  <c r="AL131" i="24"/>
  <c r="AL132" i="24"/>
  <c r="AL133" i="24"/>
  <c r="AL134" i="24"/>
  <c r="AL135" i="24"/>
  <c r="AL136" i="24"/>
  <c r="AL137" i="24"/>
  <c r="AL138" i="24"/>
  <c r="AL139" i="24"/>
  <c r="AL140" i="24"/>
  <c r="AL141" i="24"/>
  <c r="AL142" i="24"/>
  <c r="AL143" i="24"/>
  <c r="AL144" i="24"/>
  <c r="AL145" i="24"/>
  <c r="AL146" i="24"/>
  <c r="AL147" i="24"/>
  <c r="AL148" i="24"/>
  <c r="AL149" i="24"/>
  <c r="AL150" i="24"/>
  <c r="AL151" i="24"/>
  <c r="AL152" i="24"/>
  <c r="AL153" i="24"/>
  <c r="AL154" i="24"/>
  <c r="AL155" i="24"/>
  <c r="AL156" i="24"/>
  <c r="AL157" i="24"/>
  <c r="AL158" i="24"/>
  <c r="AL159" i="24"/>
  <c r="AL160" i="24"/>
  <c r="AL161" i="24"/>
  <c r="AL162" i="24"/>
  <c r="AL163" i="24"/>
  <c r="AL164" i="24"/>
  <c r="AL165" i="24"/>
  <c r="AL166" i="24"/>
  <c r="AL167" i="24"/>
  <c r="AL168" i="24"/>
  <c r="AL169" i="24"/>
  <c r="AL170" i="24"/>
  <c r="AL171" i="24"/>
  <c r="AL172" i="24"/>
  <c r="AL173" i="24"/>
  <c r="AL174" i="24"/>
  <c r="AL175" i="24"/>
  <c r="AL176" i="24"/>
  <c r="AL177" i="24"/>
  <c r="AL178" i="24"/>
  <c r="AL179" i="24"/>
  <c r="AL180" i="24"/>
  <c r="AL181" i="24"/>
  <c r="AL182" i="24"/>
  <c r="AL183" i="24"/>
  <c r="AL184" i="24"/>
  <c r="AL185" i="24"/>
  <c r="AL186" i="24"/>
  <c r="AL187" i="24"/>
  <c r="AL188" i="24"/>
  <c r="AL189" i="24"/>
  <c r="AL190" i="24"/>
  <c r="AL191" i="24"/>
  <c r="AL192" i="24"/>
  <c r="AL193" i="24"/>
  <c r="AL194" i="24"/>
  <c r="AL195" i="24"/>
  <c r="AL196" i="24"/>
  <c r="AL197" i="24"/>
  <c r="AL198" i="24"/>
  <c r="AL199" i="24"/>
  <c r="AL200" i="24"/>
  <c r="AL201" i="24"/>
  <c r="AL202" i="24"/>
  <c r="AL203" i="24"/>
  <c r="AL204" i="24"/>
  <c r="AL205" i="24"/>
  <c r="AL206" i="24"/>
  <c r="AL207" i="24"/>
  <c r="AL208" i="24"/>
  <c r="AL209" i="24"/>
  <c r="AL210" i="24"/>
  <c r="AL211" i="24"/>
  <c r="AL212" i="24"/>
  <c r="AL213" i="24"/>
  <c r="AL214" i="24"/>
  <c r="AL215" i="24"/>
  <c r="AL216" i="24"/>
  <c r="AL217" i="24"/>
  <c r="AL218" i="24"/>
  <c r="AL219" i="24"/>
  <c r="AL220" i="24"/>
  <c r="AL221" i="24"/>
  <c r="AL222" i="24"/>
  <c r="AL223" i="24"/>
  <c r="AL224" i="24"/>
  <c r="AL225" i="24"/>
  <c r="AL226" i="24"/>
  <c r="AL227" i="24"/>
  <c r="AL228" i="24"/>
  <c r="AL229" i="24"/>
  <c r="AL230" i="24"/>
  <c r="AL231" i="24"/>
  <c r="AL232" i="24"/>
  <c r="AL233" i="24"/>
  <c r="AL234" i="24"/>
  <c r="AL235" i="24"/>
  <c r="AL236" i="24"/>
  <c r="AL237" i="24"/>
  <c r="AL238" i="24"/>
  <c r="AL239" i="24"/>
  <c r="AL240" i="24"/>
  <c r="AL241" i="24"/>
  <c r="AL242" i="24"/>
  <c r="AL243" i="24"/>
  <c r="AL244" i="24"/>
  <c r="AL245" i="24"/>
  <c r="AL246" i="24"/>
  <c r="AL247" i="24"/>
  <c r="AL248" i="24"/>
  <c r="AL249" i="24"/>
  <c r="AL250" i="24"/>
  <c r="AL251" i="24"/>
  <c r="AL252" i="24"/>
  <c r="AL253" i="24"/>
  <c r="AM4" i="24"/>
  <c r="AM5" i="24"/>
  <c r="AM6" i="24"/>
  <c r="AM7" i="24"/>
  <c r="AM8" i="24"/>
  <c r="AM9" i="24"/>
  <c r="AM10" i="24"/>
  <c r="AM11" i="24"/>
  <c r="AM12" i="24"/>
  <c r="AM13" i="24"/>
  <c r="AM14" i="24"/>
  <c r="AM15" i="24"/>
  <c r="AM16" i="24"/>
  <c r="AM17" i="24"/>
  <c r="AM18" i="24"/>
  <c r="AM19" i="24"/>
  <c r="AM20" i="24"/>
  <c r="AM21" i="24"/>
  <c r="AM22" i="24"/>
  <c r="AM23" i="24"/>
  <c r="AM24" i="24"/>
  <c r="AM25" i="24"/>
  <c r="AM26" i="24"/>
  <c r="AM27" i="24"/>
  <c r="AM28" i="24"/>
  <c r="AM29" i="24"/>
  <c r="AM30" i="24"/>
  <c r="AM31" i="24"/>
  <c r="AM32" i="24"/>
  <c r="AM33" i="24"/>
  <c r="AM34" i="24"/>
  <c r="AM35" i="24"/>
  <c r="AM36" i="24"/>
  <c r="AM37" i="24"/>
  <c r="AM38" i="24"/>
  <c r="AM39" i="24"/>
  <c r="AM40" i="24"/>
  <c r="AM41" i="24"/>
  <c r="AM42" i="24"/>
  <c r="AM43" i="24"/>
  <c r="AM44" i="24"/>
  <c r="AM45" i="24"/>
  <c r="AM46" i="24"/>
  <c r="AM47" i="24"/>
  <c r="AM48" i="24"/>
  <c r="AM49" i="24"/>
  <c r="AM50" i="24"/>
  <c r="AM51" i="24"/>
  <c r="AM52" i="24"/>
  <c r="AM53" i="24"/>
  <c r="AM54" i="24"/>
  <c r="AM55" i="24"/>
  <c r="AM56" i="24"/>
  <c r="AM57" i="24"/>
  <c r="AM58" i="24"/>
  <c r="AM59" i="24"/>
  <c r="AM60" i="24"/>
  <c r="AM61" i="24"/>
  <c r="AM62" i="24"/>
  <c r="AM63" i="24"/>
  <c r="AM64" i="24"/>
  <c r="AM65" i="24"/>
  <c r="AM66" i="24"/>
  <c r="AM67" i="24"/>
  <c r="AM68" i="24"/>
  <c r="AM69" i="24"/>
  <c r="AM70" i="24"/>
  <c r="AM71" i="24"/>
  <c r="AM72" i="24"/>
  <c r="AM73" i="24"/>
  <c r="AM74" i="24"/>
  <c r="AM75" i="24"/>
  <c r="AM76" i="24"/>
  <c r="AM77" i="24"/>
  <c r="AM78" i="24"/>
  <c r="AM79" i="24"/>
  <c r="AM80" i="24"/>
  <c r="AM81" i="24"/>
  <c r="AM82" i="24"/>
  <c r="AM83" i="24"/>
  <c r="AM84" i="24"/>
  <c r="AM85" i="24"/>
  <c r="AM86" i="24"/>
  <c r="AM87" i="24"/>
  <c r="AM88" i="24"/>
  <c r="AM89" i="24"/>
  <c r="AM90" i="24"/>
  <c r="AM91" i="24"/>
  <c r="AM92" i="24"/>
  <c r="AM93" i="24"/>
  <c r="AM94" i="24"/>
  <c r="AM95" i="24"/>
  <c r="AM96" i="24"/>
  <c r="AM97" i="24"/>
  <c r="AM98" i="24"/>
  <c r="AM99" i="24"/>
  <c r="AM100" i="24"/>
  <c r="AM101" i="24"/>
  <c r="AM102" i="24"/>
  <c r="AM103" i="24"/>
  <c r="AM104" i="24"/>
  <c r="AM105" i="24"/>
  <c r="AM106" i="24"/>
  <c r="AM107" i="24"/>
  <c r="AM108" i="24"/>
  <c r="AM109" i="24"/>
  <c r="AM110" i="24"/>
  <c r="AM111" i="24"/>
  <c r="AM112" i="24"/>
  <c r="AM113" i="24"/>
  <c r="AM114" i="24"/>
  <c r="AM115" i="24"/>
  <c r="AM116" i="24"/>
  <c r="AM117" i="24"/>
  <c r="AM118" i="24"/>
  <c r="AM119" i="24"/>
  <c r="AM120" i="24"/>
  <c r="AM121" i="24"/>
  <c r="AM122" i="24"/>
  <c r="AM123" i="24"/>
  <c r="AM124" i="24"/>
  <c r="AM125" i="24"/>
  <c r="AM126" i="24"/>
  <c r="AM127" i="24"/>
  <c r="AM128" i="24"/>
  <c r="AM129" i="24"/>
  <c r="AM130" i="24"/>
  <c r="AM131" i="24"/>
  <c r="AM132" i="24"/>
  <c r="AM133" i="24"/>
  <c r="AM134" i="24"/>
  <c r="AM135" i="24"/>
  <c r="AM136" i="24"/>
  <c r="AM137" i="24"/>
  <c r="AM138" i="24"/>
  <c r="AM139" i="24"/>
  <c r="AM140" i="24"/>
  <c r="AM141" i="24"/>
  <c r="AM142" i="24"/>
  <c r="AM143" i="24"/>
  <c r="AM144" i="24"/>
  <c r="AM145" i="24"/>
  <c r="AM146" i="24"/>
  <c r="AM147" i="24"/>
  <c r="AM148" i="24"/>
  <c r="AM149" i="24"/>
  <c r="AM150" i="24"/>
  <c r="AM151" i="24"/>
  <c r="AM152" i="24"/>
  <c r="AM153" i="24"/>
  <c r="AM154" i="24"/>
  <c r="AM155" i="24"/>
  <c r="AM156" i="24"/>
  <c r="AM157" i="24"/>
  <c r="AM158" i="24"/>
  <c r="AM159" i="24"/>
  <c r="AM160" i="24"/>
  <c r="AM161" i="24"/>
  <c r="AM162" i="24"/>
  <c r="AM163" i="24"/>
  <c r="AM164" i="24"/>
  <c r="AM165" i="24"/>
  <c r="AM166" i="24"/>
  <c r="AM167" i="24"/>
  <c r="AM168" i="24"/>
  <c r="AM169" i="24"/>
  <c r="AM170" i="24"/>
  <c r="AM171" i="24"/>
  <c r="AM172" i="24"/>
  <c r="AM173" i="24"/>
  <c r="AM174" i="24"/>
  <c r="AM175" i="24"/>
  <c r="AM176" i="24"/>
  <c r="AM177" i="24"/>
  <c r="AM178" i="24"/>
  <c r="AM179" i="24"/>
  <c r="AM180" i="24"/>
  <c r="AM181" i="24"/>
  <c r="AM182" i="24"/>
  <c r="AM183" i="24"/>
  <c r="AM184" i="24"/>
  <c r="AM185" i="24"/>
  <c r="AM186" i="24"/>
  <c r="AM187" i="24"/>
  <c r="AM188" i="24"/>
  <c r="AM189" i="24"/>
  <c r="AM190" i="24"/>
  <c r="AM191" i="24"/>
  <c r="AM192" i="24"/>
  <c r="AM193" i="24"/>
  <c r="AM194" i="24"/>
  <c r="AM195" i="24"/>
  <c r="AM196" i="24"/>
  <c r="AM197" i="24"/>
  <c r="AM198" i="24"/>
  <c r="AM199" i="24"/>
  <c r="AM200" i="24"/>
  <c r="AM201" i="24"/>
  <c r="AM202" i="24"/>
  <c r="AM203" i="24"/>
  <c r="AM204" i="24"/>
  <c r="AM205" i="24"/>
  <c r="AM206" i="24"/>
  <c r="AM207" i="24"/>
  <c r="AM208" i="24"/>
  <c r="AM209" i="24"/>
  <c r="AM210" i="24"/>
  <c r="AM211" i="24"/>
  <c r="AM212" i="24"/>
  <c r="AM213" i="24"/>
  <c r="AM214" i="24"/>
  <c r="AM215" i="24"/>
  <c r="AM216" i="24"/>
  <c r="AM217" i="24"/>
  <c r="AM218" i="24"/>
  <c r="AM219" i="24"/>
  <c r="AM220" i="24"/>
  <c r="AM221" i="24"/>
  <c r="AM222" i="24"/>
  <c r="AM223" i="24"/>
  <c r="AM224" i="24"/>
  <c r="AM225" i="24"/>
  <c r="AM226" i="24"/>
  <c r="AM227" i="24"/>
  <c r="AM228" i="24"/>
  <c r="AM229" i="24"/>
  <c r="AM230" i="24"/>
  <c r="AM231" i="24"/>
  <c r="AM232" i="24"/>
  <c r="AM233" i="24"/>
  <c r="AM234" i="24"/>
  <c r="AM235" i="24"/>
  <c r="AM236" i="24"/>
  <c r="AM237" i="24"/>
  <c r="AM238" i="24"/>
  <c r="AM239" i="24"/>
  <c r="AM240" i="24"/>
  <c r="AM241" i="24"/>
  <c r="AM242" i="24"/>
  <c r="AM243" i="24"/>
  <c r="AM244" i="24"/>
  <c r="AM245" i="24"/>
  <c r="AM246" i="24"/>
  <c r="AM247" i="24"/>
  <c r="AM248" i="24"/>
  <c r="AM249" i="24"/>
  <c r="AM250" i="24"/>
  <c r="AM251" i="24"/>
  <c r="AM252" i="24"/>
  <c r="AM253" i="24"/>
  <c r="AN4" i="24"/>
  <c r="AN5" i="24"/>
  <c r="AN6" i="24"/>
  <c r="AN7" i="24"/>
  <c r="AN8" i="24"/>
  <c r="AN9" i="24"/>
  <c r="AN10" i="24"/>
  <c r="AN11" i="24"/>
  <c r="AN12" i="24"/>
  <c r="AN13" i="24"/>
  <c r="AN14" i="24"/>
  <c r="AN15" i="24"/>
  <c r="AN16" i="24"/>
  <c r="AN17" i="24"/>
  <c r="AN18" i="24"/>
  <c r="AN19" i="24"/>
  <c r="AN20" i="24"/>
  <c r="AN21" i="24"/>
  <c r="AN22" i="24"/>
  <c r="AN23" i="24"/>
  <c r="AN24" i="24"/>
  <c r="AN25" i="24"/>
  <c r="AN26" i="24"/>
  <c r="AN27" i="24"/>
  <c r="AN28" i="24"/>
  <c r="AN29" i="24"/>
  <c r="AN30" i="24"/>
  <c r="AN31" i="24"/>
  <c r="AN32" i="24"/>
  <c r="AN33" i="24"/>
  <c r="AN34" i="24"/>
  <c r="AN35" i="24"/>
  <c r="AN36" i="24"/>
  <c r="AN37" i="24"/>
  <c r="AN38" i="24"/>
  <c r="AN39" i="24"/>
  <c r="AN40" i="24"/>
  <c r="AN41" i="24"/>
  <c r="AN42" i="24"/>
  <c r="AN43" i="24"/>
  <c r="AN44" i="24"/>
  <c r="AN45" i="24"/>
  <c r="AN46" i="24"/>
  <c r="AN47" i="24"/>
  <c r="AN48" i="24"/>
  <c r="AN49" i="24"/>
  <c r="AN50" i="24"/>
  <c r="AN51" i="24"/>
  <c r="AN52" i="24"/>
  <c r="AN53" i="24"/>
  <c r="AN54" i="24"/>
  <c r="AN55" i="24"/>
  <c r="AN56" i="24"/>
  <c r="AN57" i="24"/>
  <c r="AN58" i="24"/>
  <c r="AN59" i="24"/>
  <c r="AN60" i="24"/>
  <c r="AN61" i="24"/>
  <c r="AN62" i="24"/>
  <c r="AN63" i="24"/>
  <c r="AN64" i="24"/>
  <c r="AN65" i="24"/>
  <c r="AN66" i="24"/>
  <c r="AN67" i="24"/>
  <c r="AN68" i="24"/>
  <c r="AN69" i="24"/>
  <c r="AN70" i="24"/>
  <c r="AN71" i="24"/>
  <c r="AN72" i="24"/>
  <c r="AN73" i="24"/>
  <c r="AN74" i="24"/>
  <c r="AN75" i="24"/>
  <c r="AN76" i="24"/>
  <c r="AN77" i="24"/>
  <c r="AN78" i="24"/>
  <c r="AN79" i="24"/>
  <c r="AN80" i="24"/>
  <c r="AN81" i="24"/>
  <c r="AN82" i="24"/>
  <c r="AN83" i="24"/>
  <c r="AN84" i="24"/>
  <c r="AN85" i="24"/>
  <c r="AN86" i="24"/>
  <c r="AN87" i="24"/>
  <c r="AN88" i="24"/>
  <c r="AN89" i="24"/>
  <c r="AN90" i="24"/>
  <c r="AN91" i="24"/>
  <c r="AN92" i="24"/>
  <c r="AN93" i="24"/>
  <c r="AN94" i="24"/>
  <c r="AN95" i="24"/>
  <c r="AN96" i="24"/>
  <c r="AN97" i="24"/>
  <c r="AN98" i="24"/>
  <c r="AN99" i="24"/>
  <c r="AN100" i="24"/>
  <c r="AN101" i="24"/>
  <c r="AN102" i="24"/>
  <c r="AN103" i="24"/>
  <c r="AN104" i="24"/>
  <c r="AN105" i="24"/>
  <c r="AN106" i="24"/>
  <c r="AN107" i="24"/>
  <c r="AN108" i="24"/>
  <c r="AN109" i="24"/>
  <c r="AN110" i="24"/>
  <c r="AN111" i="24"/>
  <c r="AN112" i="24"/>
  <c r="AN113" i="24"/>
  <c r="AN114" i="24"/>
  <c r="AN115" i="24"/>
  <c r="AN116" i="24"/>
  <c r="AN117" i="24"/>
  <c r="AN118" i="24"/>
  <c r="AN119" i="24"/>
  <c r="AN120" i="24"/>
  <c r="AN121" i="24"/>
  <c r="AN122" i="24"/>
  <c r="AN123" i="24"/>
  <c r="AN124" i="24"/>
  <c r="AN125" i="24"/>
  <c r="AN126" i="24"/>
  <c r="AN127" i="24"/>
  <c r="AN128" i="24"/>
  <c r="AN129" i="24"/>
  <c r="AN130" i="24"/>
  <c r="AN131" i="24"/>
  <c r="AN132" i="24"/>
  <c r="AN133" i="24"/>
  <c r="AN134" i="24"/>
  <c r="AN135" i="24"/>
  <c r="AN136" i="24"/>
  <c r="AN137" i="24"/>
  <c r="AN138" i="24"/>
  <c r="AN139" i="24"/>
  <c r="AN140" i="24"/>
  <c r="AN141" i="24"/>
  <c r="AN142" i="24"/>
  <c r="AN143" i="24"/>
  <c r="AN144" i="24"/>
  <c r="AN145" i="24"/>
  <c r="AN146" i="24"/>
  <c r="AN147" i="24"/>
  <c r="AN148" i="24"/>
  <c r="AN149" i="24"/>
  <c r="AN150" i="24"/>
  <c r="AN151" i="24"/>
  <c r="AN152" i="24"/>
  <c r="AN153" i="24"/>
  <c r="AN154" i="24"/>
  <c r="AN155" i="24"/>
  <c r="AN156" i="24"/>
  <c r="AN157" i="24"/>
  <c r="AN158" i="24"/>
  <c r="AN159" i="24"/>
  <c r="AN160" i="24"/>
  <c r="AN161" i="24"/>
  <c r="AN162" i="24"/>
  <c r="AN163" i="24"/>
  <c r="AN164" i="24"/>
  <c r="AN165" i="24"/>
  <c r="AN166" i="24"/>
  <c r="AN167" i="24"/>
  <c r="AN168" i="24"/>
  <c r="AN169" i="24"/>
  <c r="AN170" i="24"/>
  <c r="AN171" i="24"/>
  <c r="AN172" i="24"/>
  <c r="AN173" i="24"/>
  <c r="AN174" i="24"/>
  <c r="AN175" i="24"/>
  <c r="AN176" i="24"/>
  <c r="AN177" i="24"/>
  <c r="AN178" i="24"/>
  <c r="AN179" i="24"/>
  <c r="AN180" i="24"/>
  <c r="AN181" i="24"/>
  <c r="AN182" i="24"/>
  <c r="AN183" i="24"/>
  <c r="AN184" i="24"/>
  <c r="AN185" i="24"/>
  <c r="AN186" i="24"/>
  <c r="AN187" i="24"/>
  <c r="AN188" i="24"/>
  <c r="AN189" i="24"/>
  <c r="AN190" i="24"/>
  <c r="AN191" i="24"/>
  <c r="AN192" i="24"/>
  <c r="AN193" i="24"/>
  <c r="AN194" i="24"/>
  <c r="AN195" i="24"/>
  <c r="AN196" i="24"/>
  <c r="AN197" i="24"/>
  <c r="AN198" i="24"/>
  <c r="AN199" i="24"/>
  <c r="AN200" i="24"/>
  <c r="AN201" i="24"/>
  <c r="AN202" i="24"/>
  <c r="AN203" i="24"/>
  <c r="AN204" i="24"/>
  <c r="AN205" i="24"/>
  <c r="AN206" i="24"/>
  <c r="AN207" i="24"/>
  <c r="AN208" i="24"/>
  <c r="AN209" i="24"/>
  <c r="AN210" i="24"/>
  <c r="AN211" i="24"/>
  <c r="AN212" i="24"/>
  <c r="AN213" i="24"/>
  <c r="AN214" i="24"/>
  <c r="AN215" i="24"/>
  <c r="AN216" i="24"/>
  <c r="AN217" i="24"/>
  <c r="AN218" i="24"/>
  <c r="AN219" i="24"/>
  <c r="AN220" i="24"/>
  <c r="AN221" i="24"/>
  <c r="AN222" i="24"/>
  <c r="AN223" i="24"/>
  <c r="AN224" i="24"/>
  <c r="AN225" i="24"/>
  <c r="AN226" i="24"/>
  <c r="AN227" i="24"/>
  <c r="AN228" i="24"/>
  <c r="AN229" i="24"/>
  <c r="AN230" i="24"/>
  <c r="AN231" i="24"/>
  <c r="AN232" i="24"/>
  <c r="AN233" i="24"/>
  <c r="AN234" i="24"/>
  <c r="AN235" i="24"/>
  <c r="AN236" i="24"/>
  <c r="AN237" i="24"/>
  <c r="AN238" i="24"/>
  <c r="AN239" i="24"/>
  <c r="AN240" i="24"/>
  <c r="AN241" i="24"/>
  <c r="AN242" i="24"/>
  <c r="AN243" i="24"/>
  <c r="AN244" i="24"/>
  <c r="AN245" i="24"/>
  <c r="AN246" i="24"/>
  <c r="AN247" i="24"/>
  <c r="AN248" i="24"/>
  <c r="AN249" i="24"/>
  <c r="AN250" i="24"/>
  <c r="AN251" i="24"/>
  <c r="AN252" i="24"/>
  <c r="AN253" i="24"/>
  <c r="E22" i="25" l="1"/>
  <c r="G10" i="2" l="1"/>
  <c r="H10" i="2" s="1"/>
  <c r="L170" i="2"/>
  <c r="L169" i="2"/>
  <c r="L167" i="2"/>
  <c r="L166" i="2"/>
  <c r="L163" i="2"/>
  <c r="L162" i="2"/>
  <c r="G177" i="2"/>
  <c r="G170" i="2"/>
  <c r="G169" i="2"/>
  <c r="G167" i="2"/>
  <c r="G166" i="2"/>
  <c r="G163" i="2"/>
  <c r="G162" i="2"/>
  <c r="L150" i="2"/>
  <c r="L149" i="2"/>
  <c r="L147" i="2"/>
  <c r="L146" i="2"/>
  <c r="L144" i="2"/>
  <c r="L143" i="2"/>
  <c r="L136" i="2"/>
  <c r="L135" i="2"/>
  <c r="L133" i="2"/>
  <c r="L132" i="2"/>
  <c r="G150" i="2"/>
  <c r="G149" i="2"/>
  <c r="G147" i="2"/>
  <c r="G146" i="2"/>
  <c r="G144" i="2"/>
  <c r="G143" i="2"/>
  <c r="G136" i="2"/>
  <c r="G135" i="2"/>
  <c r="G133" i="2"/>
  <c r="G132" i="2"/>
  <c r="L78" i="2"/>
  <c r="M76" i="2" s="1"/>
  <c r="L81" i="2"/>
  <c r="L80" i="2"/>
  <c r="L84" i="2"/>
  <c r="L83" i="2"/>
  <c r="L87" i="2"/>
  <c r="L86" i="2"/>
  <c r="L90" i="2"/>
  <c r="L89" i="2"/>
  <c r="L93" i="2"/>
  <c r="L92" i="2"/>
  <c r="L96" i="2"/>
  <c r="L95" i="2"/>
  <c r="L99" i="2"/>
  <c r="L98" i="2"/>
  <c r="L102" i="2"/>
  <c r="L101" i="2"/>
  <c r="L105" i="2"/>
  <c r="L104" i="2"/>
  <c r="L108" i="2"/>
  <c r="L107" i="2"/>
  <c r="L111" i="2"/>
  <c r="L110" i="2"/>
  <c r="G112" i="2"/>
  <c r="G111" i="2"/>
  <c r="G110" i="2"/>
  <c r="G108" i="2"/>
  <c r="G107" i="2"/>
  <c r="G105" i="2"/>
  <c r="G104" i="2"/>
  <c r="G102" i="2"/>
  <c r="G101" i="2"/>
  <c r="G99" i="2"/>
  <c r="G98" i="2"/>
  <c r="G96" i="2"/>
  <c r="G95" i="2"/>
  <c r="G93" i="2"/>
  <c r="G92" i="2"/>
  <c r="G90" i="2"/>
  <c r="G89" i="2"/>
  <c r="G87" i="2"/>
  <c r="G86" i="2"/>
  <c r="G84" i="2"/>
  <c r="G83" i="2"/>
  <c r="G81" i="2"/>
  <c r="G80" i="2"/>
  <c r="G78" i="2"/>
  <c r="G77" i="2"/>
  <c r="G65" i="2"/>
  <c r="L63" i="2"/>
  <c r="L62" i="2"/>
  <c r="L60" i="2"/>
  <c r="L59" i="2"/>
  <c r="H7" i="28" l="1"/>
  <c r="E3" i="28" s="1"/>
  <c r="E1" i="28"/>
  <c r="B1" i="28"/>
  <c r="U10" i="2" l="1"/>
  <c r="T10" i="2"/>
  <c r="E1" i="24"/>
  <c r="B1" i="24"/>
  <c r="E1" i="27"/>
  <c r="G28" i="2"/>
  <c r="L28" i="2"/>
  <c r="G29" i="2"/>
  <c r="L29" i="2"/>
  <c r="G30" i="2"/>
  <c r="L30" i="2"/>
  <c r="G31" i="2"/>
  <c r="L31" i="2"/>
  <c r="L26" i="27"/>
  <c r="L25" i="27"/>
  <c r="L24" i="27"/>
  <c r="L22" i="27"/>
  <c r="L21" i="27"/>
  <c r="L20" i="27"/>
  <c r="L19" i="27"/>
  <c r="L18" i="27"/>
  <c r="L17" i="27"/>
  <c r="L16" i="27"/>
  <c r="L15" i="27"/>
  <c r="L14" i="27"/>
  <c r="L9" i="27"/>
  <c r="L6" i="27"/>
  <c r="T142" i="2" l="1"/>
  <c r="U142" i="2"/>
  <c r="U134" i="2"/>
  <c r="T134" i="2"/>
  <c r="U131" i="2"/>
  <c r="T131" i="2"/>
  <c r="U29" i="2"/>
  <c r="T29" i="2"/>
  <c r="T148" i="2"/>
  <c r="U148" i="2"/>
  <c r="U145" i="2"/>
  <c r="T145" i="2"/>
  <c r="T30" i="2"/>
  <c r="U30" i="2"/>
  <c r="T31" i="2"/>
  <c r="U31" i="2"/>
  <c r="T28" i="2"/>
  <c r="U28" i="2"/>
  <c r="D2" i="24"/>
  <c r="L171" i="2"/>
  <c r="G171" i="2"/>
  <c r="U171" i="2" l="1"/>
  <c r="T171" i="2"/>
  <c r="G63" i="2"/>
  <c r="G62" i="2"/>
  <c r="G61" i="2"/>
  <c r="P11" i="26"/>
  <c r="AR68" i="24"/>
  <c r="AR69" i="24"/>
  <c r="AR70" i="24"/>
  <c r="AR71" i="24"/>
  <c r="AR72" i="24"/>
  <c r="AR73" i="24"/>
  <c r="AR74" i="24"/>
  <c r="AR75" i="24"/>
  <c r="AR76" i="24"/>
  <c r="AR77" i="24"/>
  <c r="AR78" i="24"/>
  <c r="AR79" i="24"/>
  <c r="AR80" i="24"/>
  <c r="AR81" i="24"/>
  <c r="AR82" i="24"/>
  <c r="AR83" i="24"/>
  <c r="AR84" i="24"/>
  <c r="AR85" i="24"/>
  <c r="AR86" i="24"/>
  <c r="AR87" i="24"/>
  <c r="AR88" i="24"/>
  <c r="AR89" i="24"/>
  <c r="AR90" i="24"/>
  <c r="AR91" i="24"/>
  <c r="AR92" i="24"/>
  <c r="AR93" i="24"/>
  <c r="AR94" i="24"/>
  <c r="AR95" i="24"/>
  <c r="AR96" i="24"/>
  <c r="AR97" i="24"/>
  <c r="AR98" i="24"/>
  <c r="AR99" i="24"/>
  <c r="AR100" i="24"/>
  <c r="AR101" i="24"/>
  <c r="AR102" i="24"/>
  <c r="AR103" i="24"/>
  <c r="AR104" i="24"/>
  <c r="AR105" i="24"/>
  <c r="AR106" i="24"/>
  <c r="AR107" i="24"/>
  <c r="AR108" i="24"/>
  <c r="AR109" i="24"/>
  <c r="AR110" i="24"/>
  <c r="AR111" i="24"/>
  <c r="AR112" i="24"/>
  <c r="AR113" i="24"/>
  <c r="AR114" i="24"/>
  <c r="AR115" i="24"/>
  <c r="AR116" i="24"/>
  <c r="AR117" i="24"/>
  <c r="AR118" i="24"/>
  <c r="AR119" i="24"/>
  <c r="AR120" i="24"/>
  <c r="AR121" i="24"/>
  <c r="AR122" i="24"/>
  <c r="AR123" i="24"/>
  <c r="AR124" i="24"/>
  <c r="AR125" i="24"/>
  <c r="AR126" i="24"/>
  <c r="AR127" i="24"/>
  <c r="AR128" i="24"/>
  <c r="AR129" i="24"/>
  <c r="AR130" i="24"/>
  <c r="AR131" i="24"/>
  <c r="AR132" i="24"/>
  <c r="AR133" i="24"/>
  <c r="AR134" i="24"/>
  <c r="AR135" i="24"/>
  <c r="AR136" i="24"/>
  <c r="AR137" i="24"/>
  <c r="AR138" i="24"/>
  <c r="AR139" i="24"/>
  <c r="AR140" i="24"/>
  <c r="AR141" i="24"/>
  <c r="AR142" i="24"/>
  <c r="AR143" i="24"/>
  <c r="AR144" i="24"/>
  <c r="AR145" i="24"/>
  <c r="AR146" i="24"/>
  <c r="AR147" i="24"/>
  <c r="AR148" i="24"/>
  <c r="AR149" i="24"/>
  <c r="AR150" i="24"/>
  <c r="AR151" i="24"/>
  <c r="AR152" i="24"/>
  <c r="AR153" i="24"/>
  <c r="AR154" i="24"/>
  <c r="AR155" i="24"/>
  <c r="AR156" i="24"/>
  <c r="AR157" i="24"/>
  <c r="AR158" i="24"/>
  <c r="AR159" i="24"/>
  <c r="AR160" i="24"/>
  <c r="AR161" i="24"/>
  <c r="AR162" i="24"/>
  <c r="AR163" i="24"/>
  <c r="AR164" i="24"/>
  <c r="AR165" i="24"/>
  <c r="AR166" i="24"/>
  <c r="AR167" i="24"/>
  <c r="AR168" i="24"/>
  <c r="AR169" i="24"/>
  <c r="AR170" i="24"/>
  <c r="AR171" i="24"/>
  <c r="AR172" i="24"/>
  <c r="AR173" i="24"/>
  <c r="AR174" i="24"/>
  <c r="AR175" i="24"/>
  <c r="AR176" i="24"/>
  <c r="AR177" i="24"/>
  <c r="AR178" i="24"/>
  <c r="AR179" i="24"/>
  <c r="AR180" i="24"/>
  <c r="AR181" i="24"/>
  <c r="AR182" i="24"/>
  <c r="AR183" i="24"/>
  <c r="AR184" i="24"/>
  <c r="AR185" i="24"/>
  <c r="AR186" i="24"/>
  <c r="AR187" i="24"/>
  <c r="AR188" i="24"/>
  <c r="AR189" i="24"/>
  <c r="AR190" i="24"/>
  <c r="AR191" i="24"/>
  <c r="AR192" i="24"/>
  <c r="AR193" i="24"/>
  <c r="AR194" i="24"/>
  <c r="AR195" i="24"/>
  <c r="AR196" i="24"/>
  <c r="AR197" i="24"/>
  <c r="AR198" i="24"/>
  <c r="AR199" i="24"/>
  <c r="AR200" i="24"/>
  <c r="AR201" i="24"/>
  <c r="AR202" i="24"/>
  <c r="AR203" i="24"/>
  <c r="AR204" i="24"/>
  <c r="AR205" i="24"/>
  <c r="AR206" i="24"/>
  <c r="AR207" i="24"/>
  <c r="AR208" i="24"/>
  <c r="AR209" i="24"/>
  <c r="AR210" i="24"/>
  <c r="AR211" i="24"/>
  <c r="AR212" i="24"/>
  <c r="AR213" i="24"/>
  <c r="AR214" i="24"/>
  <c r="AR215" i="24"/>
  <c r="AR216" i="24"/>
  <c r="AR217" i="24"/>
  <c r="AR218" i="24"/>
  <c r="AR219" i="24"/>
  <c r="AR220" i="24"/>
  <c r="AR221" i="24"/>
  <c r="AR222" i="24"/>
  <c r="AR223" i="24"/>
  <c r="AR224" i="24"/>
  <c r="AR225" i="24"/>
  <c r="AR226" i="24"/>
  <c r="AR227" i="24"/>
  <c r="AR228" i="24"/>
  <c r="AR229" i="24"/>
  <c r="AR230" i="24"/>
  <c r="AR231" i="24"/>
  <c r="AR232" i="24"/>
  <c r="AR233" i="24"/>
  <c r="AR234" i="24"/>
  <c r="AR235" i="24"/>
  <c r="AR236" i="24"/>
  <c r="AR237" i="24"/>
  <c r="AR238" i="24"/>
  <c r="AR239" i="24"/>
  <c r="AR240" i="24"/>
  <c r="AR241" i="24"/>
  <c r="AR242" i="24"/>
  <c r="AR243" i="24"/>
  <c r="AR244" i="24"/>
  <c r="AR245" i="24"/>
  <c r="AR246" i="24"/>
  <c r="AR247" i="24"/>
  <c r="AR248" i="24"/>
  <c r="AR249" i="24"/>
  <c r="AR250" i="24"/>
  <c r="AR251" i="24"/>
  <c r="AR252" i="24"/>
  <c r="AR253" i="24"/>
  <c r="AO68" i="24"/>
  <c r="AQ68" i="24" s="1"/>
  <c r="AO69" i="24"/>
  <c r="AQ69" i="24" s="1"/>
  <c r="AO70" i="24"/>
  <c r="AQ70" i="24" s="1"/>
  <c r="AO71" i="24"/>
  <c r="AQ71" i="24" s="1"/>
  <c r="AO72" i="24"/>
  <c r="AQ72" i="24" s="1"/>
  <c r="AO73" i="24"/>
  <c r="AQ73" i="24" s="1"/>
  <c r="AO74" i="24"/>
  <c r="AQ74" i="24" s="1"/>
  <c r="AO75" i="24"/>
  <c r="AQ75" i="24" s="1"/>
  <c r="AO76" i="24"/>
  <c r="AQ76" i="24" s="1"/>
  <c r="AO77" i="24"/>
  <c r="AQ77" i="24" s="1"/>
  <c r="AO78" i="24"/>
  <c r="AQ78" i="24" s="1"/>
  <c r="AO79" i="24"/>
  <c r="AQ79" i="24" s="1"/>
  <c r="AO80" i="24"/>
  <c r="AQ80" i="24" s="1"/>
  <c r="AO81" i="24"/>
  <c r="AQ81" i="24" s="1"/>
  <c r="AO82" i="24"/>
  <c r="AQ82" i="24" s="1"/>
  <c r="AO83" i="24"/>
  <c r="AQ83" i="24" s="1"/>
  <c r="AO84" i="24"/>
  <c r="AQ84" i="24" s="1"/>
  <c r="AO85" i="24"/>
  <c r="AQ85" i="24" s="1"/>
  <c r="AO86" i="24"/>
  <c r="AQ86" i="24" s="1"/>
  <c r="AO87" i="24"/>
  <c r="AQ87" i="24" s="1"/>
  <c r="AO88" i="24"/>
  <c r="AQ88" i="24" s="1"/>
  <c r="AO89" i="24"/>
  <c r="AQ89" i="24" s="1"/>
  <c r="AO90" i="24"/>
  <c r="AQ90" i="24" s="1"/>
  <c r="AO91" i="24"/>
  <c r="AQ91" i="24" s="1"/>
  <c r="AO92" i="24"/>
  <c r="AQ92" i="24" s="1"/>
  <c r="AO93" i="24"/>
  <c r="AQ93" i="24" s="1"/>
  <c r="AO94" i="24"/>
  <c r="AQ94" i="24" s="1"/>
  <c r="AO95" i="24"/>
  <c r="AQ95" i="24" s="1"/>
  <c r="AO96" i="24"/>
  <c r="AQ96" i="24" s="1"/>
  <c r="AO97" i="24"/>
  <c r="AQ97" i="24" s="1"/>
  <c r="AO98" i="24"/>
  <c r="AQ98" i="24" s="1"/>
  <c r="AO99" i="24"/>
  <c r="AQ99" i="24" s="1"/>
  <c r="AO100" i="24"/>
  <c r="AQ100" i="24" s="1"/>
  <c r="AO101" i="24"/>
  <c r="AQ101" i="24" s="1"/>
  <c r="AO102" i="24"/>
  <c r="AQ102" i="24" s="1"/>
  <c r="AO103" i="24"/>
  <c r="AQ103" i="24" s="1"/>
  <c r="AO104" i="24"/>
  <c r="AQ104" i="24" s="1"/>
  <c r="AO105" i="24"/>
  <c r="AQ105" i="24" s="1"/>
  <c r="AO106" i="24"/>
  <c r="AQ106" i="24" s="1"/>
  <c r="AO107" i="24"/>
  <c r="AQ107" i="24" s="1"/>
  <c r="AO108" i="24"/>
  <c r="AQ108" i="24" s="1"/>
  <c r="AO109" i="24"/>
  <c r="AQ109" i="24" s="1"/>
  <c r="AO110" i="24"/>
  <c r="AQ110" i="24" s="1"/>
  <c r="AO111" i="24"/>
  <c r="AQ111" i="24" s="1"/>
  <c r="AO112" i="24"/>
  <c r="AQ112" i="24" s="1"/>
  <c r="AO113" i="24"/>
  <c r="AQ113" i="24" s="1"/>
  <c r="AO114" i="24"/>
  <c r="AQ114" i="24" s="1"/>
  <c r="AO115" i="24"/>
  <c r="AQ115" i="24" s="1"/>
  <c r="AO116" i="24"/>
  <c r="AQ116" i="24" s="1"/>
  <c r="AO117" i="24"/>
  <c r="AQ117" i="24" s="1"/>
  <c r="AO118" i="24"/>
  <c r="AQ118" i="24" s="1"/>
  <c r="AO119" i="24"/>
  <c r="AQ119" i="24" s="1"/>
  <c r="AO120" i="24"/>
  <c r="AQ120" i="24" s="1"/>
  <c r="AO121" i="24"/>
  <c r="AQ121" i="24" s="1"/>
  <c r="AO122" i="24"/>
  <c r="AQ122" i="24" s="1"/>
  <c r="AO123" i="24"/>
  <c r="AQ123" i="24" s="1"/>
  <c r="AO124" i="24"/>
  <c r="AQ124" i="24" s="1"/>
  <c r="AO125" i="24"/>
  <c r="AQ125" i="24" s="1"/>
  <c r="AO126" i="24"/>
  <c r="AQ126" i="24" s="1"/>
  <c r="AO127" i="24"/>
  <c r="AQ127" i="24" s="1"/>
  <c r="AO128" i="24"/>
  <c r="AQ128" i="24" s="1"/>
  <c r="AO129" i="24"/>
  <c r="AQ129" i="24" s="1"/>
  <c r="AO130" i="24"/>
  <c r="AQ130" i="24" s="1"/>
  <c r="AO131" i="24"/>
  <c r="AQ131" i="24" s="1"/>
  <c r="AO132" i="24"/>
  <c r="AQ132" i="24" s="1"/>
  <c r="AO133" i="24"/>
  <c r="AQ133" i="24" s="1"/>
  <c r="AO134" i="24"/>
  <c r="AQ134" i="24" s="1"/>
  <c r="AO135" i="24"/>
  <c r="AQ135" i="24" s="1"/>
  <c r="AO136" i="24"/>
  <c r="AQ136" i="24" s="1"/>
  <c r="AO137" i="24"/>
  <c r="AQ137" i="24" s="1"/>
  <c r="AO138" i="24"/>
  <c r="AQ138" i="24" s="1"/>
  <c r="AO139" i="24"/>
  <c r="AQ139" i="24" s="1"/>
  <c r="AO140" i="24"/>
  <c r="AQ140" i="24" s="1"/>
  <c r="AO141" i="24"/>
  <c r="AQ141" i="24" s="1"/>
  <c r="AO142" i="24"/>
  <c r="AQ142" i="24" s="1"/>
  <c r="AO143" i="24"/>
  <c r="AQ143" i="24" s="1"/>
  <c r="AO144" i="24"/>
  <c r="AQ144" i="24" s="1"/>
  <c r="AO145" i="24"/>
  <c r="AQ145" i="24" s="1"/>
  <c r="AO146" i="24"/>
  <c r="AQ146" i="24" s="1"/>
  <c r="AO147" i="24"/>
  <c r="AQ147" i="24" s="1"/>
  <c r="AO148" i="24"/>
  <c r="AQ148" i="24" s="1"/>
  <c r="AO149" i="24"/>
  <c r="AQ149" i="24" s="1"/>
  <c r="AO150" i="24"/>
  <c r="AQ150" i="24" s="1"/>
  <c r="AO151" i="24"/>
  <c r="AQ151" i="24" s="1"/>
  <c r="AO152" i="24"/>
  <c r="AQ152" i="24" s="1"/>
  <c r="AO153" i="24"/>
  <c r="AQ153" i="24" s="1"/>
  <c r="AO154" i="24"/>
  <c r="AQ154" i="24" s="1"/>
  <c r="AO155" i="24"/>
  <c r="AQ155" i="24" s="1"/>
  <c r="AO156" i="24"/>
  <c r="AQ156" i="24" s="1"/>
  <c r="AO157" i="24"/>
  <c r="AQ157" i="24" s="1"/>
  <c r="AO158" i="24"/>
  <c r="AQ158" i="24" s="1"/>
  <c r="AO159" i="24"/>
  <c r="AQ159" i="24" s="1"/>
  <c r="AO160" i="24"/>
  <c r="AQ160" i="24" s="1"/>
  <c r="AO161" i="24"/>
  <c r="AQ161" i="24" s="1"/>
  <c r="AO162" i="24"/>
  <c r="AQ162" i="24" s="1"/>
  <c r="AO163" i="24"/>
  <c r="AQ163" i="24" s="1"/>
  <c r="AO164" i="24"/>
  <c r="AQ164" i="24" s="1"/>
  <c r="AO165" i="24"/>
  <c r="AQ165" i="24" s="1"/>
  <c r="AO166" i="24"/>
  <c r="AQ166" i="24" s="1"/>
  <c r="AO167" i="24"/>
  <c r="AQ167" i="24" s="1"/>
  <c r="AO168" i="24"/>
  <c r="AQ168" i="24" s="1"/>
  <c r="AO169" i="24"/>
  <c r="AQ169" i="24" s="1"/>
  <c r="AO170" i="24"/>
  <c r="AQ170" i="24" s="1"/>
  <c r="AO171" i="24"/>
  <c r="AQ171" i="24" s="1"/>
  <c r="AO172" i="24"/>
  <c r="AQ172" i="24" s="1"/>
  <c r="AO173" i="24"/>
  <c r="AQ173" i="24" s="1"/>
  <c r="AO174" i="24"/>
  <c r="AQ174" i="24" s="1"/>
  <c r="AO175" i="24"/>
  <c r="AQ175" i="24" s="1"/>
  <c r="AO176" i="24"/>
  <c r="AQ176" i="24" s="1"/>
  <c r="AO177" i="24"/>
  <c r="AQ177" i="24" s="1"/>
  <c r="AO178" i="24"/>
  <c r="AQ178" i="24" s="1"/>
  <c r="AO179" i="24"/>
  <c r="AQ179" i="24" s="1"/>
  <c r="AO180" i="24"/>
  <c r="AQ180" i="24" s="1"/>
  <c r="AO181" i="24"/>
  <c r="AQ181" i="24" s="1"/>
  <c r="AO182" i="24"/>
  <c r="AQ182" i="24" s="1"/>
  <c r="AO183" i="24"/>
  <c r="AQ183" i="24" s="1"/>
  <c r="AO184" i="24"/>
  <c r="AQ184" i="24" s="1"/>
  <c r="AO185" i="24"/>
  <c r="AQ185" i="24" s="1"/>
  <c r="AO186" i="24"/>
  <c r="AQ186" i="24" s="1"/>
  <c r="AO187" i="24"/>
  <c r="AQ187" i="24" s="1"/>
  <c r="AO188" i="24"/>
  <c r="AQ188" i="24" s="1"/>
  <c r="AO189" i="24"/>
  <c r="AQ189" i="24" s="1"/>
  <c r="AO190" i="24"/>
  <c r="AQ190" i="24" s="1"/>
  <c r="AO191" i="24"/>
  <c r="AQ191" i="24" s="1"/>
  <c r="AO192" i="24"/>
  <c r="AQ192" i="24" s="1"/>
  <c r="AO193" i="24"/>
  <c r="AQ193" i="24" s="1"/>
  <c r="AO194" i="24"/>
  <c r="AQ194" i="24" s="1"/>
  <c r="AO195" i="24"/>
  <c r="AQ195" i="24" s="1"/>
  <c r="AO196" i="24"/>
  <c r="AQ196" i="24" s="1"/>
  <c r="AO197" i="24"/>
  <c r="AQ197" i="24" s="1"/>
  <c r="AO198" i="24"/>
  <c r="AQ198" i="24" s="1"/>
  <c r="AO199" i="24"/>
  <c r="AQ199" i="24" s="1"/>
  <c r="AO200" i="24"/>
  <c r="AQ200" i="24" s="1"/>
  <c r="AO201" i="24"/>
  <c r="AQ201" i="24" s="1"/>
  <c r="AO202" i="24"/>
  <c r="AQ202" i="24" s="1"/>
  <c r="AO203" i="24"/>
  <c r="AQ203" i="24" s="1"/>
  <c r="AO204" i="24"/>
  <c r="AQ204" i="24" s="1"/>
  <c r="AO205" i="24"/>
  <c r="AQ205" i="24" s="1"/>
  <c r="AO206" i="24"/>
  <c r="AQ206" i="24" s="1"/>
  <c r="AO207" i="24"/>
  <c r="AQ207" i="24" s="1"/>
  <c r="AO208" i="24"/>
  <c r="AQ208" i="24" s="1"/>
  <c r="AO209" i="24"/>
  <c r="AQ209" i="24" s="1"/>
  <c r="AO210" i="24"/>
  <c r="AQ210" i="24" s="1"/>
  <c r="AO211" i="24"/>
  <c r="AQ211" i="24" s="1"/>
  <c r="AO212" i="24"/>
  <c r="AQ212" i="24" s="1"/>
  <c r="AO213" i="24"/>
  <c r="AQ213" i="24" s="1"/>
  <c r="AO214" i="24"/>
  <c r="AQ214" i="24" s="1"/>
  <c r="AO215" i="24"/>
  <c r="AQ215" i="24" s="1"/>
  <c r="AO216" i="24"/>
  <c r="AQ216" i="24" s="1"/>
  <c r="AO217" i="24"/>
  <c r="AQ217" i="24" s="1"/>
  <c r="AO218" i="24"/>
  <c r="AQ218" i="24" s="1"/>
  <c r="AO219" i="24"/>
  <c r="AQ219" i="24" s="1"/>
  <c r="AO220" i="24"/>
  <c r="AQ220" i="24" s="1"/>
  <c r="AO221" i="24"/>
  <c r="AQ221" i="24" s="1"/>
  <c r="AO222" i="24"/>
  <c r="AQ222" i="24" s="1"/>
  <c r="AO223" i="24"/>
  <c r="AQ223" i="24" s="1"/>
  <c r="AO224" i="24"/>
  <c r="AQ224" i="24" s="1"/>
  <c r="AO225" i="24"/>
  <c r="AQ225" i="24" s="1"/>
  <c r="AO226" i="24"/>
  <c r="AQ226" i="24" s="1"/>
  <c r="AO227" i="24"/>
  <c r="AQ227" i="24" s="1"/>
  <c r="AO228" i="24"/>
  <c r="AQ228" i="24" s="1"/>
  <c r="AO229" i="24"/>
  <c r="AQ229" i="24" s="1"/>
  <c r="AO230" i="24"/>
  <c r="AQ230" i="24" s="1"/>
  <c r="AO231" i="24"/>
  <c r="AQ231" i="24" s="1"/>
  <c r="AO232" i="24"/>
  <c r="AQ232" i="24" s="1"/>
  <c r="AO233" i="24"/>
  <c r="AQ233" i="24" s="1"/>
  <c r="AO234" i="24"/>
  <c r="AQ234" i="24" s="1"/>
  <c r="AO235" i="24"/>
  <c r="AQ235" i="24" s="1"/>
  <c r="AO236" i="24"/>
  <c r="AQ236" i="24" s="1"/>
  <c r="AO237" i="24"/>
  <c r="AQ237" i="24" s="1"/>
  <c r="AO238" i="24"/>
  <c r="AQ238" i="24" s="1"/>
  <c r="AO239" i="24"/>
  <c r="AQ239" i="24" s="1"/>
  <c r="AO240" i="24"/>
  <c r="AQ240" i="24" s="1"/>
  <c r="AO241" i="24"/>
  <c r="AQ241" i="24" s="1"/>
  <c r="AO242" i="24"/>
  <c r="AQ242" i="24" s="1"/>
  <c r="AO243" i="24"/>
  <c r="AQ243" i="24" s="1"/>
  <c r="AO244" i="24"/>
  <c r="AQ244" i="24" s="1"/>
  <c r="AO245" i="24"/>
  <c r="AQ245" i="24" s="1"/>
  <c r="AO246" i="24"/>
  <c r="AQ246" i="24" s="1"/>
  <c r="AO247" i="24"/>
  <c r="AQ247" i="24" s="1"/>
  <c r="AO248" i="24"/>
  <c r="AQ248" i="24" s="1"/>
  <c r="AO249" i="24"/>
  <c r="AQ249" i="24" s="1"/>
  <c r="AO250" i="24"/>
  <c r="AQ250" i="24" s="1"/>
  <c r="AO251" i="24"/>
  <c r="AQ251" i="24" s="1"/>
  <c r="AO252" i="24"/>
  <c r="AQ252" i="24" s="1"/>
  <c r="AO253" i="24"/>
  <c r="AQ253" i="24" s="1"/>
  <c r="AR4" i="24"/>
  <c r="T62" i="2" l="1"/>
  <c r="U62" i="2"/>
  <c r="U63" i="2"/>
  <c r="T63" i="2"/>
  <c r="T61" i="2"/>
  <c r="U61" i="2"/>
  <c r="AO5" i="24"/>
  <c r="AO6" i="24"/>
  <c r="AO7" i="24"/>
  <c r="AQ7" i="24" s="1"/>
  <c r="AO8" i="24"/>
  <c r="AQ8" i="24" s="1"/>
  <c r="AO9" i="24"/>
  <c r="AQ9" i="24" s="1"/>
  <c r="AO10" i="24"/>
  <c r="AQ10" i="24" s="1"/>
  <c r="AO11" i="24"/>
  <c r="AQ11" i="24" s="1"/>
  <c r="AO12" i="24"/>
  <c r="AQ12" i="24" s="1"/>
  <c r="AO13" i="24"/>
  <c r="AQ13" i="24" s="1"/>
  <c r="AO14" i="24"/>
  <c r="AQ14" i="24" s="1"/>
  <c r="AO15" i="24"/>
  <c r="AQ15" i="24" s="1"/>
  <c r="AO16" i="24"/>
  <c r="AQ16" i="24" s="1"/>
  <c r="AO17" i="24"/>
  <c r="AQ17" i="24" s="1"/>
  <c r="AO18" i="24"/>
  <c r="AQ18" i="24" s="1"/>
  <c r="AO19" i="24"/>
  <c r="AQ19" i="24" s="1"/>
  <c r="AO20" i="24"/>
  <c r="AQ20" i="24" s="1"/>
  <c r="AO21" i="24"/>
  <c r="AQ21" i="24" s="1"/>
  <c r="AO22" i="24"/>
  <c r="AQ22" i="24" s="1"/>
  <c r="AO23" i="24"/>
  <c r="AQ23" i="24" s="1"/>
  <c r="AO24" i="24"/>
  <c r="AQ24" i="24" s="1"/>
  <c r="AO25" i="24"/>
  <c r="AQ25" i="24" s="1"/>
  <c r="AO26" i="24"/>
  <c r="AQ26" i="24" s="1"/>
  <c r="AO27" i="24"/>
  <c r="AQ27" i="24" s="1"/>
  <c r="AO28" i="24"/>
  <c r="AQ28" i="24" s="1"/>
  <c r="AO29" i="24"/>
  <c r="AQ29" i="24" s="1"/>
  <c r="AO30" i="24"/>
  <c r="AQ30" i="24" s="1"/>
  <c r="AO31" i="24"/>
  <c r="AQ31" i="24" s="1"/>
  <c r="AO32" i="24"/>
  <c r="AQ32" i="24" s="1"/>
  <c r="AO33" i="24"/>
  <c r="AQ33" i="24" s="1"/>
  <c r="AO34" i="24"/>
  <c r="AQ34" i="24" s="1"/>
  <c r="AO35" i="24"/>
  <c r="AQ35" i="24" s="1"/>
  <c r="AO36" i="24"/>
  <c r="AQ36" i="24" s="1"/>
  <c r="AO37" i="24"/>
  <c r="AQ37" i="24" s="1"/>
  <c r="AO38" i="24"/>
  <c r="AQ38" i="24" s="1"/>
  <c r="AO39" i="24"/>
  <c r="AQ39" i="24" s="1"/>
  <c r="AO40" i="24"/>
  <c r="AQ40" i="24" s="1"/>
  <c r="AO41" i="24"/>
  <c r="AQ41" i="24" s="1"/>
  <c r="AO42" i="24"/>
  <c r="AQ42" i="24" s="1"/>
  <c r="AO43" i="24"/>
  <c r="AQ43" i="24" s="1"/>
  <c r="AO44" i="24"/>
  <c r="AQ44" i="24" s="1"/>
  <c r="AO45" i="24"/>
  <c r="AQ45" i="24" s="1"/>
  <c r="AO46" i="24"/>
  <c r="AQ46" i="24" s="1"/>
  <c r="AO47" i="24"/>
  <c r="AQ47" i="24" s="1"/>
  <c r="AO48" i="24"/>
  <c r="AQ48" i="24" s="1"/>
  <c r="AO49" i="24"/>
  <c r="AQ49" i="24" s="1"/>
  <c r="AO50" i="24"/>
  <c r="AQ50" i="24" s="1"/>
  <c r="AO51" i="24"/>
  <c r="AQ51" i="24" s="1"/>
  <c r="AO52" i="24"/>
  <c r="AQ52" i="24" s="1"/>
  <c r="AO53" i="24"/>
  <c r="AQ53" i="24" s="1"/>
  <c r="AO54" i="24"/>
  <c r="AQ54" i="24" s="1"/>
  <c r="AO55" i="24"/>
  <c r="AQ55" i="24" s="1"/>
  <c r="AO56" i="24"/>
  <c r="AQ56" i="24" s="1"/>
  <c r="AO57" i="24"/>
  <c r="AQ57" i="24" s="1"/>
  <c r="AO58" i="24"/>
  <c r="AQ58" i="24" s="1"/>
  <c r="AO59" i="24"/>
  <c r="AQ59" i="24" s="1"/>
  <c r="AO60" i="24"/>
  <c r="AQ60" i="24" s="1"/>
  <c r="AO61" i="24"/>
  <c r="AQ61" i="24" s="1"/>
  <c r="AO62" i="24"/>
  <c r="AQ62" i="24" s="1"/>
  <c r="AO63" i="24"/>
  <c r="AQ63" i="24" s="1"/>
  <c r="AO64" i="24"/>
  <c r="AQ64" i="24" s="1"/>
  <c r="AO65" i="24"/>
  <c r="AQ65" i="24" s="1"/>
  <c r="AO66" i="24"/>
  <c r="AQ66" i="24" s="1"/>
  <c r="AO67" i="24"/>
  <c r="AQ67" i="24" s="1"/>
  <c r="AO4" i="24"/>
  <c r="AS139" i="24" l="1"/>
  <c r="L139" i="24" s="1"/>
  <c r="P154" i="24" s="1"/>
  <c r="AS247" i="24"/>
  <c r="AS206" i="24"/>
  <c r="AS129" i="24"/>
  <c r="L129" i="24" s="1"/>
  <c r="Q144" i="24" s="1"/>
  <c r="AS237" i="24"/>
  <c r="L237" i="24" s="1"/>
  <c r="T252" i="24" s="1"/>
  <c r="AS160" i="24"/>
  <c r="L160" i="24" s="1"/>
  <c r="AS83" i="24"/>
  <c r="L83" i="24" s="1"/>
  <c r="Q98" i="24" s="1"/>
  <c r="AS191" i="24"/>
  <c r="AS114" i="24"/>
  <c r="AS186" i="24"/>
  <c r="L186" i="24" s="1"/>
  <c r="T201" i="24" s="1"/>
  <c r="AS145" i="24"/>
  <c r="L145" i="24" s="1"/>
  <c r="AS104" i="24"/>
  <c r="AS212" i="24"/>
  <c r="L212" i="24" s="1"/>
  <c r="O227" i="24" s="1"/>
  <c r="AS135" i="24"/>
  <c r="L135" i="24" s="1"/>
  <c r="AS243" i="24"/>
  <c r="AS130" i="24"/>
  <c r="AS202" i="24"/>
  <c r="AS238" i="24"/>
  <c r="AS161" i="24"/>
  <c r="L161" i="24" s="1"/>
  <c r="O176" i="24" s="1"/>
  <c r="AS197" i="24"/>
  <c r="AS233" i="24"/>
  <c r="L233" i="24" s="1"/>
  <c r="AS84" i="24"/>
  <c r="AS120" i="24"/>
  <c r="L120" i="24" s="1"/>
  <c r="AS156" i="24"/>
  <c r="AS192" i="24"/>
  <c r="AS228" i="24"/>
  <c r="L228" i="24" s="1"/>
  <c r="R243" i="24" s="1"/>
  <c r="AS79" i="24"/>
  <c r="AS115" i="24"/>
  <c r="AS151" i="24"/>
  <c r="L151" i="24" s="1"/>
  <c r="AS187" i="24"/>
  <c r="AS223" i="24"/>
  <c r="L223" i="24" s="1"/>
  <c r="S238" i="24" s="1"/>
  <c r="AS110" i="24"/>
  <c r="AS146" i="24"/>
  <c r="AS182" i="24"/>
  <c r="AS218" i="24"/>
  <c r="L218" i="24" s="1"/>
  <c r="T233" i="24" s="1"/>
  <c r="AS105" i="24"/>
  <c r="AS141" i="24"/>
  <c r="AS177" i="24"/>
  <c r="AS213" i="24"/>
  <c r="AS249" i="24"/>
  <c r="L249" i="24" s="1"/>
  <c r="AS100" i="24"/>
  <c r="AS136" i="24"/>
  <c r="AS172" i="24"/>
  <c r="AS208" i="24"/>
  <c r="AS244" i="24"/>
  <c r="AS95" i="24"/>
  <c r="AS131" i="24"/>
  <c r="AS167" i="24"/>
  <c r="AS203" i="24"/>
  <c r="AS239" i="24"/>
  <c r="AS90" i="24"/>
  <c r="AS126" i="24"/>
  <c r="L126" i="24" s="1"/>
  <c r="T141" i="24" s="1"/>
  <c r="AS162" i="24"/>
  <c r="L162" i="24" s="1"/>
  <c r="AS198" i="24"/>
  <c r="AS234" i="24"/>
  <c r="L234" i="24" s="1"/>
  <c r="AS103" i="24"/>
  <c r="AS211" i="24"/>
  <c r="L211" i="24" s="1"/>
  <c r="O226" i="24" s="1"/>
  <c r="AS134" i="24"/>
  <c r="L134" i="24" s="1"/>
  <c r="P149" i="24" s="1"/>
  <c r="AS242" i="24"/>
  <c r="AS165" i="24"/>
  <c r="AS88" i="24"/>
  <c r="L88" i="24" s="1"/>
  <c r="AS196" i="24"/>
  <c r="AS119" i="24"/>
  <c r="L119" i="24" s="1"/>
  <c r="P134" i="24" s="1"/>
  <c r="AS78" i="24"/>
  <c r="L78" i="24" s="1"/>
  <c r="AS222" i="24"/>
  <c r="AS109" i="24"/>
  <c r="L109" i="24" s="1"/>
  <c r="T124" i="24" s="1"/>
  <c r="AS217" i="24"/>
  <c r="L217" i="24" s="1"/>
  <c r="AS140" i="24"/>
  <c r="AS248" i="24"/>
  <c r="AS171" i="24"/>
  <c r="AS94" i="24"/>
  <c r="AS89" i="24"/>
  <c r="AS157" i="24"/>
  <c r="AS229" i="24"/>
  <c r="AS116" i="24"/>
  <c r="L116" i="24" s="1"/>
  <c r="O131" i="24" s="1"/>
  <c r="AS188" i="24"/>
  <c r="AS147" i="24"/>
  <c r="AS183" i="24"/>
  <c r="AS106" i="24"/>
  <c r="AS142" i="24"/>
  <c r="L142" i="24" s="1"/>
  <c r="AS178" i="24"/>
  <c r="AS214" i="24"/>
  <c r="AS250" i="24"/>
  <c r="AS101" i="24"/>
  <c r="AS137" i="24"/>
  <c r="AS173" i="24"/>
  <c r="AS209" i="24"/>
  <c r="AS245" i="24"/>
  <c r="AS96" i="24"/>
  <c r="AS132" i="24"/>
  <c r="AS168" i="24"/>
  <c r="AS204" i="24"/>
  <c r="AS240" i="24"/>
  <c r="AS175" i="24"/>
  <c r="AS98" i="24"/>
  <c r="L98" i="24" s="1"/>
  <c r="AS170" i="24"/>
  <c r="AS93" i="24"/>
  <c r="AS201" i="24"/>
  <c r="AS124" i="24"/>
  <c r="AS232" i="24"/>
  <c r="AS155" i="24"/>
  <c r="L155" i="24" s="1"/>
  <c r="AS227" i="24"/>
  <c r="L227" i="24" s="1"/>
  <c r="AS150" i="24"/>
  <c r="L150" i="24" s="1"/>
  <c r="AS181" i="24"/>
  <c r="AS176" i="24"/>
  <c r="L176" i="24" s="1"/>
  <c r="AS99" i="24"/>
  <c r="AS207" i="24"/>
  <c r="AS166" i="24"/>
  <c r="AS125" i="24"/>
  <c r="AS85" i="24"/>
  <c r="AS121" i="24"/>
  <c r="AS193" i="24"/>
  <c r="AS80" i="24"/>
  <c r="AS152" i="24"/>
  <c r="AS224" i="24"/>
  <c r="AS111" i="24"/>
  <c r="AS219" i="24"/>
  <c r="AS91" i="24"/>
  <c r="AS127" i="24"/>
  <c r="AS163" i="24"/>
  <c r="AS199" i="24"/>
  <c r="AS235" i="24"/>
  <c r="L235" i="24" s="1"/>
  <c r="AS86" i="24"/>
  <c r="AS122" i="24"/>
  <c r="L122" i="24" s="1"/>
  <c r="AS158" i="24"/>
  <c r="AS194" i="24"/>
  <c r="L194" i="24" s="1"/>
  <c r="AS230" i="24"/>
  <c r="AS81" i="24"/>
  <c r="AS117" i="24"/>
  <c r="L117" i="24" s="1"/>
  <c r="AS153" i="24"/>
  <c r="L153" i="24" s="1"/>
  <c r="AS189" i="24"/>
  <c r="L189" i="24" s="1"/>
  <c r="AS225" i="24"/>
  <c r="AS112" i="24"/>
  <c r="AS148" i="24"/>
  <c r="AS184" i="24"/>
  <c r="L184" i="24" s="1"/>
  <c r="AS220" i="24"/>
  <c r="AS107" i="24"/>
  <c r="AS143" i="24"/>
  <c r="AS179" i="24"/>
  <c r="AS215" i="24"/>
  <c r="AS251" i="24"/>
  <c r="AS102" i="24"/>
  <c r="L102" i="24" s="1"/>
  <c r="AS138" i="24"/>
  <c r="L138" i="24" s="1"/>
  <c r="AS174" i="24"/>
  <c r="AS210" i="24"/>
  <c r="L210" i="24" s="1"/>
  <c r="AS246" i="24"/>
  <c r="AS97" i="24"/>
  <c r="AS133" i="24"/>
  <c r="AS169" i="24"/>
  <c r="AS205" i="24"/>
  <c r="AS241" i="24"/>
  <c r="L241" i="24" s="1"/>
  <c r="AS92" i="24"/>
  <c r="L92" i="24" s="1"/>
  <c r="AS128" i="24"/>
  <c r="AS164" i="24"/>
  <c r="AS200" i="24"/>
  <c r="L200" i="24" s="1"/>
  <c r="AS236" i="24"/>
  <c r="AS87" i="24"/>
  <c r="L87" i="24" s="1"/>
  <c r="AS123" i="24"/>
  <c r="AS159" i="24"/>
  <c r="AS195" i="24"/>
  <c r="AS231" i="24"/>
  <c r="L231" i="24" s="1"/>
  <c r="AS82" i="24"/>
  <c r="AS118" i="24"/>
  <c r="L118" i="24" s="1"/>
  <c r="AS154" i="24"/>
  <c r="L154" i="24" s="1"/>
  <c r="AS190" i="24"/>
  <c r="AS226" i="24"/>
  <c r="L226" i="24" s="1"/>
  <c r="AS113" i="24"/>
  <c r="AS149" i="24"/>
  <c r="AS185" i="24"/>
  <c r="AS221" i="24"/>
  <c r="L221" i="24" s="1"/>
  <c r="AS108" i="24"/>
  <c r="AS144" i="24"/>
  <c r="L144" i="24" s="1"/>
  <c r="AS180" i="24"/>
  <c r="AS216" i="24"/>
  <c r="AS252" i="24"/>
  <c r="AS73" i="24"/>
  <c r="L73" i="24" s="1"/>
  <c r="AS68" i="24"/>
  <c r="L68" i="24" s="1"/>
  <c r="AS74" i="24"/>
  <c r="L74" i="24" s="1"/>
  <c r="AS69" i="24"/>
  <c r="L69" i="24" s="1"/>
  <c r="AS75" i="24"/>
  <c r="L75" i="24" s="1"/>
  <c r="AS70" i="24"/>
  <c r="L70" i="24" s="1"/>
  <c r="AS76" i="24"/>
  <c r="AS71" i="24"/>
  <c r="L71" i="24" s="1"/>
  <c r="AS77" i="24"/>
  <c r="L77" i="24" s="1"/>
  <c r="AS72" i="24"/>
  <c r="AR6" i="24"/>
  <c r="AR5" i="24"/>
  <c r="AR7" i="24"/>
  <c r="AR8" i="24"/>
  <c r="AR9" i="24"/>
  <c r="AR10" i="24"/>
  <c r="AR11" i="24"/>
  <c r="AR12" i="24"/>
  <c r="AR13" i="24"/>
  <c r="AR14" i="24"/>
  <c r="AR15" i="24"/>
  <c r="AR16" i="24"/>
  <c r="AR17" i="24"/>
  <c r="AR18" i="24"/>
  <c r="AR19" i="24"/>
  <c r="AR20" i="24"/>
  <c r="AR21" i="24"/>
  <c r="AR22" i="24"/>
  <c r="AR23" i="24"/>
  <c r="AR24" i="24"/>
  <c r="AR25" i="24"/>
  <c r="AR26" i="24"/>
  <c r="AR27" i="24"/>
  <c r="AR28" i="24"/>
  <c r="AR29" i="24"/>
  <c r="AR30" i="24"/>
  <c r="AR31" i="24"/>
  <c r="AR32" i="24"/>
  <c r="AR33" i="24"/>
  <c r="AR34" i="24"/>
  <c r="AR35" i="24"/>
  <c r="AR36" i="24"/>
  <c r="AR37" i="24"/>
  <c r="AR38" i="24"/>
  <c r="AR39" i="24"/>
  <c r="AR40" i="24"/>
  <c r="AR41" i="24"/>
  <c r="AR42" i="24"/>
  <c r="AR43" i="24"/>
  <c r="AR44" i="24"/>
  <c r="AR45" i="24"/>
  <c r="AR46" i="24"/>
  <c r="AR47" i="24"/>
  <c r="AR48" i="24"/>
  <c r="AR49" i="24"/>
  <c r="AR50" i="24"/>
  <c r="AR51" i="24"/>
  <c r="AR52" i="24"/>
  <c r="AR53" i="24"/>
  <c r="AR54" i="24"/>
  <c r="AR55" i="24"/>
  <c r="AR56" i="24"/>
  <c r="AR57" i="24"/>
  <c r="AR58" i="24"/>
  <c r="AR59" i="24"/>
  <c r="AR60" i="24"/>
  <c r="AR61" i="24"/>
  <c r="AR62" i="24"/>
  <c r="AR63" i="24"/>
  <c r="AR64" i="24"/>
  <c r="AR65" i="24"/>
  <c r="AR66" i="24"/>
  <c r="AR67" i="24"/>
  <c r="S154" i="24" l="1"/>
  <c r="R154" i="24"/>
  <c r="O154" i="24"/>
  <c r="Q238" i="24"/>
  <c r="R98" i="24"/>
  <c r="Q176" i="24"/>
  <c r="T98" i="24"/>
  <c r="O98" i="24"/>
  <c r="Q154" i="24"/>
  <c r="T154" i="24"/>
  <c r="S98" i="24"/>
  <c r="R201" i="24"/>
  <c r="T238" i="24"/>
  <c r="O238" i="24"/>
  <c r="R238" i="24"/>
  <c r="P201" i="24"/>
  <c r="P238" i="24"/>
  <c r="P98" i="24"/>
  <c r="L236" i="24"/>
  <c r="T251" i="24" s="1"/>
  <c r="L246" i="24"/>
  <c r="O261" i="24" s="1"/>
  <c r="L215" i="24"/>
  <c r="Q230" i="24" s="1"/>
  <c r="L232" i="24"/>
  <c r="T247" i="24" s="1"/>
  <c r="L175" i="24"/>
  <c r="O190" i="24" s="1"/>
  <c r="L245" i="24"/>
  <c r="S260" i="24" s="1"/>
  <c r="L214" i="24"/>
  <c r="O229" i="24" s="1"/>
  <c r="L188" i="24"/>
  <c r="P203" i="24" s="1"/>
  <c r="L222" i="24"/>
  <c r="O237" i="24" s="1"/>
  <c r="L242" i="24"/>
  <c r="T257" i="24" s="1"/>
  <c r="L198" i="24"/>
  <c r="S213" i="24" s="1"/>
  <c r="L187" i="24"/>
  <c r="P202" i="24" s="1"/>
  <c r="L238" i="24"/>
  <c r="R253" i="24" s="1"/>
  <c r="L179" i="24"/>
  <c r="O194" i="24" s="1"/>
  <c r="L230" i="24"/>
  <c r="O245" i="24" s="1"/>
  <c r="L199" i="24"/>
  <c r="S214" i="24" s="1"/>
  <c r="L224" i="24"/>
  <c r="S239" i="24" s="1"/>
  <c r="L181" i="24"/>
  <c r="O196" i="24" s="1"/>
  <c r="L240" i="24"/>
  <c r="S255" i="24" s="1"/>
  <c r="L209" i="24"/>
  <c r="S224" i="24" s="1"/>
  <c r="L178" i="24"/>
  <c r="O193" i="24" s="1"/>
  <c r="L248" i="24"/>
  <c r="P263" i="24" s="1"/>
  <c r="L202" i="24"/>
  <c r="Q217" i="24" s="1"/>
  <c r="L190" i="24"/>
  <c r="R205" i="24" s="1"/>
  <c r="L195" i="24"/>
  <c r="Q210" i="24" s="1"/>
  <c r="L205" i="24"/>
  <c r="O220" i="24" s="1"/>
  <c r="L174" i="24"/>
  <c r="L225" i="24"/>
  <c r="P240" i="24" s="1"/>
  <c r="L201" i="24"/>
  <c r="R216" i="24" s="1"/>
  <c r="L204" i="24"/>
  <c r="T219" i="24" s="1"/>
  <c r="L173" i="24"/>
  <c r="P188" i="24" s="1"/>
  <c r="L229" i="24"/>
  <c r="S244" i="24" s="1"/>
  <c r="L182" i="24"/>
  <c r="Q197" i="24" s="1"/>
  <c r="L252" i="24"/>
  <c r="P267" i="24" s="1"/>
  <c r="L185" i="24"/>
  <c r="S200" i="24" s="1"/>
  <c r="L196" i="24"/>
  <c r="Q211" i="24" s="1"/>
  <c r="L244" i="24"/>
  <c r="T259" i="24" s="1"/>
  <c r="L213" i="24"/>
  <c r="O228" i="24" s="1"/>
  <c r="L243" i="24"/>
  <c r="S258" i="24" s="1"/>
  <c r="L206" i="24"/>
  <c r="O221" i="24" s="1"/>
  <c r="L216" i="24"/>
  <c r="R231" i="24" s="1"/>
  <c r="L220" i="24"/>
  <c r="Q235" i="24" s="1"/>
  <c r="L193" i="24"/>
  <c r="P208" i="24" s="1"/>
  <c r="L207" i="24"/>
  <c r="Q222" i="24" s="1"/>
  <c r="L183" i="24"/>
  <c r="Q198" i="24" s="1"/>
  <c r="L239" i="24"/>
  <c r="Q254" i="24" s="1"/>
  <c r="L208" i="24"/>
  <c r="R223" i="24" s="1"/>
  <c r="L177" i="24"/>
  <c r="P192" i="24" s="1"/>
  <c r="L197" i="24"/>
  <c r="R212" i="24" s="1"/>
  <c r="L191" i="24"/>
  <c r="O206" i="24" s="1"/>
  <c r="L247" i="24"/>
  <c r="O262" i="24" s="1"/>
  <c r="L180" i="24"/>
  <c r="T195" i="24" s="1"/>
  <c r="L251" i="24"/>
  <c r="T266" i="24" s="1"/>
  <c r="L219" i="24"/>
  <c r="T234" i="24" s="1"/>
  <c r="L250" i="24"/>
  <c r="O265" i="24" s="1"/>
  <c r="L203" i="24"/>
  <c r="P218" i="24" s="1"/>
  <c r="L172" i="24"/>
  <c r="T187" i="24" s="1"/>
  <c r="L192" i="24"/>
  <c r="T207" i="24" s="1"/>
  <c r="L148" i="24"/>
  <c r="R163" i="24" s="1"/>
  <c r="L105" i="24"/>
  <c r="R120" i="24" s="1"/>
  <c r="L156" i="24"/>
  <c r="T171" i="24" s="1"/>
  <c r="L125" i="24"/>
  <c r="O140" i="24" s="1"/>
  <c r="L100" i="24"/>
  <c r="R115" i="24" s="1"/>
  <c r="L159" i="24"/>
  <c r="R174" i="24" s="1"/>
  <c r="L164" i="24"/>
  <c r="Q179" i="24" s="1"/>
  <c r="L169" i="24"/>
  <c r="P184" i="24" s="1"/>
  <c r="L143" i="24"/>
  <c r="O158" i="24" s="1"/>
  <c r="L163" i="24"/>
  <c r="Q178" i="24" s="1"/>
  <c r="L152" i="24"/>
  <c r="Q167" i="24" s="1"/>
  <c r="L140" i="24"/>
  <c r="P155" i="24" s="1"/>
  <c r="L95" i="24"/>
  <c r="L115" i="24"/>
  <c r="T130" i="24" s="1"/>
  <c r="L84" i="24"/>
  <c r="O99" i="24" s="1"/>
  <c r="L130" i="24"/>
  <c r="O145" i="24" s="1"/>
  <c r="L108" i="24"/>
  <c r="R123" i="24" s="1"/>
  <c r="L111" i="24"/>
  <c r="T126" i="24" s="1"/>
  <c r="L171" i="24"/>
  <c r="O186" i="24" s="1"/>
  <c r="L104" i="24"/>
  <c r="T119" i="24" s="1"/>
  <c r="L124" i="24"/>
  <c r="O139" i="24" s="1"/>
  <c r="L131" i="24"/>
  <c r="T146" i="24" s="1"/>
  <c r="L123" i="24"/>
  <c r="P138" i="24" s="1"/>
  <c r="L128" i="24"/>
  <c r="T143" i="24" s="1"/>
  <c r="L133" i="24"/>
  <c r="P148" i="24" s="1"/>
  <c r="L107" i="24"/>
  <c r="Q122" i="24" s="1"/>
  <c r="L158" i="24"/>
  <c r="O173" i="24" s="1"/>
  <c r="L127" i="24"/>
  <c r="R142" i="24" s="1"/>
  <c r="L80" i="24"/>
  <c r="P95" i="24" s="1"/>
  <c r="L166" i="24"/>
  <c r="R181" i="24" s="1"/>
  <c r="L93" i="24"/>
  <c r="P108" i="24" s="1"/>
  <c r="L168" i="24"/>
  <c r="Q183" i="24" s="1"/>
  <c r="L137" i="24"/>
  <c r="S152" i="24" s="1"/>
  <c r="L106" i="24"/>
  <c r="R121" i="24" s="1"/>
  <c r="L157" i="24"/>
  <c r="R172" i="24" s="1"/>
  <c r="L90" i="24"/>
  <c r="T105" i="24" s="1"/>
  <c r="L146" i="24"/>
  <c r="P161" i="24" s="1"/>
  <c r="L79" i="24"/>
  <c r="Q94" i="24" s="1"/>
  <c r="L114" i="24"/>
  <c r="O129" i="24" s="1"/>
  <c r="L167" i="24"/>
  <c r="R182" i="24" s="1"/>
  <c r="L136" i="24"/>
  <c r="T151" i="24" s="1"/>
  <c r="L112" i="24"/>
  <c r="S127" i="24" s="1"/>
  <c r="L149" i="24"/>
  <c r="R164" i="24" s="1"/>
  <c r="L91" i="24"/>
  <c r="O106" i="24" s="1"/>
  <c r="L170" i="24"/>
  <c r="T185" i="24" s="1"/>
  <c r="L132" i="24"/>
  <c r="O147" i="24" s="1"/>
  <c r="L101" i="24"/>
  <c r="O116" i="24" s="1"/>
  <c r="L89" i="24"/>
  <c r="L103" i="24"/>
  <c r="T118" i="24" s="1"/>
  <c r="L110" i="24"/>
  <c r="O125" i="24" s="1"/>
  <c r="L81" i="24"/>
  <c r="T96" i="24" s="1"/>
  <c r="L85" i="24"/>
  <c r="P100" i="24" s="1"/>
  <c r="L76" i="24"/>
  <c r="R91" i="24" s="1"/>
  <c r="L113" i="24"/>
  <c r="R128" i="24" s="1"/>
  <c r="L82" i="24"/>
  <c r="T97" i="24" s="1"/>
  <c r="L97" i="24"/>
  <c r="O112" i="24" s="1"/>
  <c r="L86" i="24"/>
  <c r="L121" i="24"/>
  <c r="T136" i="24" s="1"/>
  <c r="L99" i="24"/>
  <c r="O114" i="24" s="1"/>
  <c r="L96" i="24"/>
  <c r="O111" i="24" s="1"/>
  <c r="L147" i="24"/>
  <c r="O162" i="24" s="1"/>
  <c r="L94" i="24"/>
  <c r="S109" i="24" s="1"/>
  <c r="L165" i="24"/>
  <c r="T180" i="24" s="1"/>
  <c r="L141" i="24"/>
  <c r="S156" i="24" s="1"/>
  <c r="L72" i="24"/>
  <c r="S87" i="24" s="1"/>
  <c r="O233" i="24"/>
  <c r="R227" i="24"/>
  <c r="Q134" i="24"/>
  <c r="O144" i="24"/>
  <c r="T134" i="24"/>
  <c r="Q201" i="24"/>
  <c r="S232" i="24"/>
  <c r="P232" i="24"/>
  <c r="O232" i="24"/>
  <c r="Q103" i="24"/>
  <c r="O103" i="24"/>
  <c r="S103" i="24"/>
  <c r="O149" i="24"/>
  <c r="S227" i="24"/>
  <c r="T227" i="24"/>
  <c r="R233" i="24"/>
  <c r="P233" i="24"/>
  <c r="Q227" i="24"/>
  <c r="S233" i="24"/>
  <c r="O243" i="24"/>
  <c r="O134" i="24"/>
  <c r="Q149" i="24"/>
  <c r="S169" i="24"/>
  <c r="P169" i="24"/>
  <c r="T150" i="24"/>
  <c r="Q150" i="24"/>
  <c r="O150" i="24"/>
  <c r="R113" i="24"/>
  <c r="S113" i="24"/>
  <c r="S166" i="24"/>
  <c r="P166" i="24"/>
  <c r="O166" i="24"/>
  <c r="Q135" i="24"/>
  <c r="T135" i="24"/>
  <c r="O160" i="24"/>
  <c r="T160" i="24"/>
  <c r="O201" i="24"/>
  <c r="P227" i="24"/>
  <c r="R232" i="24"/>
  <c r="Q233" i="24"/>
  <c r="P243" i="24"/>
  <c r="R149" i="24"/>
  <c r="T149" i="24"/>
  <c r="S149" i="24"/>
  <c r="T175" i="24"/>
  <c r="O175" i="24"/>
  <c r="Q175" i="24"/>
  <c r="S175" i="24"/>
  <c r="P175" i="24"/>
  <c r="R175" i="24"/>
  <c r="Q153" i="24"/>
  <c r="T153" i="24"/>
  <c r="S153" i="24"/>
  <c r="O153" i="24"/>
  <c r="T204" i="24"/>
  <c r="O204" i="24"/>
  <c r="R204" i="24"/>
  <c r="Q204" i="24"/>
  <c r="S204" i="24"/>
  <c r="P204" i="24"/>
  <c r="Q248" i="24"/>
  <c r="S248" i="24"/>
  <c r="T248" i="24"/>
  <c r="P248" i="24"/>
  <c r="O248" i="24"/>
  <c r="R248" i="24"/>
  <c r="S250" i="24"/>
  <c r="P250" i="24"/>
  <c r="T250" i="24"/>
  <c r="O250" i="24"/>
  <c r="R250" i="24"/>
  <c r="Q250" i="24"/>
  <c r="O242" i="24"/>
  <c r="T242" i="24"/>
  <c r="S242" i="24"/>
  <c r="S177" i="24"/>
  <c r="T177" i="24"/>
  <c r="O177" i="24"/>
  <c r="P177" i="24"/>
  <c r="R177" i="24"/>
  <c r="Q177" i="24"/>
  <c r="S133" i="24"/>
  <c r="P133" i="24"/>
  <c r="R133" i="24"/>
  <c r="Q133" i="24"/>
  <c r="T133" i="24"/>
  <c r="O133" i="24"/>
  <c r="T215" i="24"/>
  <c r="R215" i="24"/>
  <c r="O215" i="24"/>
  <c r="S215" i="24"/>
  <c r="P215" i="24"/>
  <c r="Q215" i="24"/>
  <c r="T249" i="24"/>
  <c r="R249" i="24"/>
  <c r="S249" i="24"/>
  <c r="P249" i="24"/>
  <c r="O249" i="24"/>
  <c r="Q249" i="24"/>
  <c r="O88" i="24"/>
  <c r="P88" i="24"/>
  <c r="S88" i="24"/>
  <c r="S159" i="24"/>
  <c r="R159" i="24"/>
  <c r="Q159" i="24"/>
  <c r="T159" i="24"/>
  <c r="P159" i="24"/>
  <c r="O159" i="24"/>
  <c r="O252" i="24"/>
  <c r="R252" i="24"/>
  <c r="S252" i="24"/>
  <c r="O113" i="24"/>
  <c r="T243" i="24"/>
  <c r="S134" i="24"/>
  <c r="S243" i="24"/>
  <c r="R134" i="24"/>
  <c r="T113" i="24"/>
  <c r="Q157" i="24"/>
  <c r="T157" i="24"/>
  <c r="O157" i="24"/>
  <c r="P157" i="24"/>
  <c r="R157" i="24"/>
  <c r="S157" i="24"/>
  <c r="T225" i="24"/>
  <c r="P225" i="24"/>
  <c r="S225" i="24"/>
  <c r="O225" i="24"/>
  <c r="S131" i="24"/>
  <c r="R131" i="24"/>
  <c r="Q131" i="24"/>
  <c r="Q169" i="24"/>
  <c r="S132" i="24"/>
  <c r="T132" i="24"/>
  <c r="P132" i="24"/>
  <c r="T169" i="24"/>
  <c r="R153" i="24"/>
  <c r="T88" i="24"/>
  <c r="R88" i="24"/>
  <c r="Q88" i="24"/>
  <c r="T232" i="24"/>
  <c r="Q232" i="24"/>
  <c r="R144" i="24"/>
  <c r="T144" i="24"/>
  <c r="P144" i="24"/>
  <c r="S144" i="24"/>
  <c r="R135" i="24"/>
  <c r="P135" i="24"/>
  <c r="S135" i="24"/>
  <c r="O135" i="24"/>
  <c r="P150" i="24"/>
  <c r="S150" i="24"/>
  <c r="R150" i="24"/>
  <c r="T170" i="24"/>
  <c r="Q170" i="24"/>
  <c r="S170" i="24"/>
  <c r="P170" i="24"/>
  <c r="R242" i="24"/>
  <c r="P242" i="24"/>
  <c r="Q242" i="24"/>
  <c r="R141" i="24"/>
  <c r="P141" i="24"/>
  <c r="S141" i="24"/>
  <c r="O132" i="24"/>
  <c r="R169" i="24"/>
  <c r="P153" i="24"/>
  <c r="T131" i="24"/>
  <c r="Q141" i="24"/>
  <c r="R170" i="24"/>
  <c r="Q166" i="24"/>
  <c r="T166" i="24"/>
  <c r="R166" i="24"/>
  <c r="P226" i="24"/>
  <c r="T226" i="24"/>
  <c r="R226" i="24"/>
  <c r="R93" i="24"/>
  <c r="Q93" i="24"/>
  <c r="P93" i="24"/>
  <c r="O93" i="24"/>
  <c r="O170" i="24"/>
  <c r="P131" i="24"/>
  <c r="P124" i="24"/>
  <c r="R124" i="24"/>
  <c r="Q124" i="24"/>
  <c r="S124" i="24"/>
  <c r="O124" i="24"/>
  <c r="R176" i="24"/>
  <c r="S176" i="24"/>
  <c r="P176" i="24"/>
  <c r="O169" i="24"/>
  <c r="O141" i="24"/>
  <c r="T176" i="24"/>
  <c r="P160" i="24"/>
  <c r="S160" i="24"/>
  <c r="R160" i="24"/>
  <c r="S201" i="24"/>
  <c r="P113" i="24"/>
  <c r="R103" i="24"/>
  <c r="S84" i="24"/>
  <c r="T84" i="24"/>
  <c r="R84" i="24"/>
  <c r="P84" i="24"/>
  <c r="Q84" i="24"/>
  <c r="O84" i="24"/>
  <c r="S107" i="24"/>
  <c r="R107" i="24"/>
  <c r="T107" i="24"/>
  <c r="P107" i="24"/>
  <c r="Q107" i="24"/>
  <c r="O107" i="24"/>
  <c r="R264" i="24"/>
  <c r="Q264" i="24"/>
  <c r="O264" i="24"/>
  <c r="S264" i="24"/>
  <c r="P264" i="24"/>
  <c r="T264" i="24"/>
  <c r="R241" i="24"/>
  <c r="S241" i="24"/>
  <c r="O241" i="24"/>
  <c r="P241" i="24"/>
  <c r="Q241" i="24"/>
  <c r="T241" i="24"/>
  <c r="R256" i="24"/>
  <c r="P256" i="24"/>
  <c r="T256" i="24"/>
  <c r="Q256" i="24"/>
  <c r="O256" i="24"/>
  <c r="S256" i="24"/>
  <c r="T168" i="24"/>
  <c r="O168" i="24"/>
  <c r="P168" i="24"/>
  <c r="R168" i="24"/>
  <c r="Q168" i="24"/>
  <c r="S168" i="24"/>
  <c r="T209" i="24"/>
  <c r="P209" i="24"/>
  <c r="O209" i="24"/>
  <c r="S209" i="24"/>
  <c r="R209" i="24"/>
  <c r="Q209" i="24"/>
  <c r="Q165" i="24"/>
  <c r="R165" i="24"/>
  <c r="T165" i="24"/>
  <c r="O165" i="24"/>
  <c r="P165" i="24"/>
  <c r="S165" i="24"/>
  <c r="T199" i="24"/>
  <c r="Q199" i="24"/>
  <c r="O199" i="24"/>
  <c r="P199" i="24"/>
  <c r="R199" i="24"/>
  <c r="S199" i="24"/>
  <c r="R236" i="24"/>
  <c r="S236" i="24"/>
  <c r="P236" i="24"/>
  <c r="O236" i="24"/>
  <c r="Q236" i="24"/>
  <c r="T236" i="24"/>
  <c r="Q246" i="24"/>
  <c r="R246" i="24"/>
  <c r="O246" i="24"/>
  <c r="T246" i="24"/>
  <c r="S246" i="24"/>
  <c r="P246" i="24"/>
  <c r="R102" i="24"/>
  <c r="T102" i="24"/>
  <c r="Q102" i="24"/>
  <c r="S102" i="24"/>
  <c r="O102" i="24"/>
  <c r="P102" i="24"/>
  <c r="R117" i="24"/>
  <c r="P117" i="24"/>
  <c r="O117" i="24"/>
  <c r="Q117" i="24"/>
  <c r="S117" i="24"/>
  <c r="T117" i="24"/>
  <c r="S137" i="24"/>
  <c r="T137" i="24"/>
  <c r="O137" i="24"/>
  <c r="Q137" i="24"/>
  <c r="P137" i="24"/>
  <c r="R137" i="24"/>
  <c r="R191" i="24"/>
  <c r="S191" i="24"/>
  <c r="O191" i="24"/>
  <c r="Q191" i="24"/>
  <c r="P191" i="24"/>
  <c r="T191" i="24"/>
  <c r="T93" i="24"/>
  <c r="T103" i="24"/>
  <c r="Q252" i="24"/>
  <c r="S226" i="24"/>
  <c r="R225" i="24"/>
  <c r="Q160" i="24"/>
  <c r="S93" i="24"/>
  <c r="P103" i="24"/>
  <c r="P252" i="24"/>
  <c r="Q226" i="24"/>
  <c r="Q225" i="24"/>
  <c r="R132" i="24"/>
  <c r="Q132" i="24"/>
  <c r="Q243" i="24"/>
  <c r="Q113" i="24"/>
  <c r="P85" i="24"/>
  <c r="R85" i="24"/>
  <c r="Q85" i="24"/>
  <c r="T85" i="24"/>
  <c r="S85" i="24"/>
  <c r="O85" i="24"/>
  <c r="Q90" i="24"/>
  <c r="O90" i="24"/>
  <c r="S90" i="24"/>
  <c r="R90" i="24"/>
  <c r="T90" i="24"/>
  <c r="P90" i="24"/>
  <c r="P86" i="24"/>
  <c r="R86" i="24"/>
  <c r="T86" i="24"/>
  <c r="O86" i="24"/>
  <c r="Q86" i="24"/>
  <c r="S86" i="24"/>
  <c r="R92" i="24"/>
  <c r="T92" i="24"/>
  <c r="S92" i="24"/>
  <c r="P92" i="24"/>
  <c r="Q92" i="24"/>
  <c r="O92" i="24"/>
  <c r="T89" i="24"/>
  <c r="Q89" i="24"/>
  <c r="P89" i="24"/>
  <c r="R89" i="24"/>
  <c r="O89" i="24"/>
  <c r="S89" i="24"/>
  <c r="AA6" i="24"/>
  <c r="AA7" i="24"/>
  <c r="AA8" i="24"/>
  <c r="AA9" i="24"/>
  <c r="AA10" i="24"/>
  <c r="AA5" i="24"/>
  <c r="Y4" i="24"/>
  <c r="Z6" i="24"/>
  <c r="Z7" i="24"/>
  <c r="Z8" i="24"/>
  <c r="Z9" i="24"/>
  <c r="Z10" i="24"/>
  <c r="Z5" i="24"/>
  <c r="AA4" i="24"/>
  <c r="Z4" i="24"/>
  <c r="Y6" i="24"/>
  <c r="Y7" i="24"/>
  <c r="Y8" i="24"/>
  <c r="Y9" i="24"/>
  <c r="Y10" i="24"/>
  <c r="Y5" i="24"/>
  <c r="R5" i="24"/>
  <c r="X4" i="24"/>
  <c r="X6" i="24"/>
  <c r="X7" i="24"/>
  <c r="X8" i="24"/>
  <c r="X9" i="24"/>
  <c r="X10" i="24"/>
  <c r="X5" i="24"/>
  <c r="W6" i="24"/>
  <c r="W7" i="24"/>
  <c r="W8" i="24"/>
  <c r="W9" i="24"/>
  <c r="W10" i="24"/>
  <c r="W5" i="24"/>
  <c r="W4" i="24"/>
  <c r="F22" i="25"/>
  <c r="V6" i="24"/>
  <c r="V7" i="24"/>
  <c r="V8" i="24"/>
  <c r="V9" i="24"/>
  <c r="V10" i="24"/>
  <c r="V5" i="24"/>
  <c r="U5" i="24"/>
  <c r="T6" i="24"/>
  <c r="U6" i="24"/>
  <c r="U7" i="24"/>
  <c r="U8" i="24"/>
  <c r="U9" i="24"/>
  <c r="U10" i="24"/>
  <c r="T7" i="24"/>
  <c r="T8" i="24"/>
  <c r="T9" i="24"/>
  <c r="T10" i="24"/>
  <c r="T5" i="24"/>
  <c r="I58" i="27"/>
  <c r="J58" i="27" s="1"/>
  <c r="G58" i="27"/>
  <c r="I57" i="27"/>
  <c r="J57" i="27" s="1"/>
  <c r="G57" i="27"/>
  <c r="I56" i="27"/>
  <c r="J56" i="27" s="1"/>
  <c r="G56" i="27"/>
  <c r="I55" i="27"/>
  <c r="J55" i="27" s="1"/>
  <c r="G55" i="27"/>
  <c r="I54" i="27"/>
  <c r="J54" i="27" s="1"/>
  <c r="G54" i="27"/>
  <c r="I53" i="27"/>
  <c r="J53" i="27" s="1"/>
  <c r="G53" i="27"/>
  <c r="I52" i="27"/>
  <c r="J52" i="27" s="1"/>
  <c r="G52" i="27"/>
  <c r="I51" i="27"/>
  <c r="J51" i="27" s="1"/>
  <c r="G51" i="27"/>
  <c r="I50" i="27"/>
  <c r="J50" i="27" s="1"/>
  <c r="G50" i="27"/>
  <c r="I49" i="27"/>
  <c r="J49" i="27" s="1"/>
  <c r="G49" i="27"/>
  <c r="I48" i="27"/>
  <c r="J48" i="27" s="1"/>
  <c r="G48" i="27"/>
  <c r="I47" i="27"/>
  <c r="J47" i="27" s="1"/>
  <c r="G47" i="27"/>
  <c r="I46" i="27"/>
  <c r="J46" i="27" s="1"/>
  <c r="G46" i="27"/>
  <c r="I45" i="27"/>
  <c r="J45" i="27" s="1"/>
  <c r="G45" i="27"/>
  <c r="I44" i="27"/>
  <c r="J44" i="27" s="1"/>
  <c r="G44" i="27"/>
  <c r="I43" i="27"/>
  <c r="J43" i="27" s="1"/>
  <c r="G43" i="27"/>
  <c r="I42" i="27"/>
  <c r="J42" i="27" s="1"/>
  <c r="G42" i="27"/>
  <c r="I41" i="27"/>
  <c r="J41" i="27" s="1"/>
  <c r="G41" i="27"/>
  <c r="I40" i="27"/>
  <c r="J40" i="27" s="1"/>
  <c r="G40" i="27"/>
  <c r="I39" i="27"/>
  <c r="J39" i="27" s="1"/>
  <c r="G39" i="27"/>
  <c r="I38" i="27"/>
  <c r="J38" i="27" s="1"/>
  <c r="G38" i="27"/>
  <c r="I37" i="27"/>
  <c r="J37" i="27" s="1"/>
  <c r="G37" i="27"/>
  <c r="I36" i="27"/>
  <c r="J36" i="27" s="1"/>
  <c r="I35" i="27"/>
  <c r="J35" i="27" s="1"/>
  <c r="G35" i="27"/>
  <c r="I34" i="27"/>
  <c r="J34" i="27" s="1"/>
  <c r="G34" i="27"/>
  <c r="E32" i="27"/>
  <c r="E12" i="2" s="1"/>
  <c r="E8" i="2" s="1"/>
  <c r="I5" i="27"/>
  <c r="J5" i="27" s="1"/>
  <c r="I27" i="27"/>
  <c r="J27" i="27" s="1"/>
  <c r="G27" i="27"/>
  <c r="I26" i="27"/>
  <c r="J26" i="27" s="1"/>
  <c r="G26" i="27"/>
  <c r="I25" i="27"/>
  <c r="J25" i="27" s="1"/>
  <c r="G25" i="27"/>
  <c r="I24" i="27"/>
  <c r="J24" i="27" s="1"/>
  <c r="G24" i="27"/>
  <c r="I23" i="27"/>
  <c r="J23" i="27" s="1"/>
  <c r="G23" i="27"/>
  <c r="I22" i="27"/>
  <c r="J22" i="27" s="1"/>
  <c r="G22" i="27"/>
  <c r="I21" i="27"/>
  <c r="J21" i="27" s="1"/>
  <c r="G21" i="27"/>
  <c r="I20" i="27"/>
  <c r="J20" i="27" s="1"/>
  <c r="G20" i="27"/>
  <c r="I19" i="27"/>
  <c r="J19" i="27" s="1"/>
  <c r="G19" i="27"/>
  <c r="I18" i="27"/>
  <c r="J18" i="27" s="1"/>
  <c r="G18" i="27"/>
  <c r="I17" i="27"/>
  <c r="J17" i="27" s="1"/>
  <c r="G17" i="27"/>
  <c r="I16" i="27"/>
  <c r="J16" i="27" s="1"/>
  <c r="G16" i="27"/>
  <c r="I15" i="27"/>
  <c r="J15" i="27" s="1"/>
  <c r="G15" i="27"/>
  <c r="I14" i="27"/>
  <c r="J14" i="27" s="1"/>
  <c r="G14" i="27"/>
  <c r="I13" i="27"/>
  <c r="J13" i="27" s="1"/>
  <c r="G13" i="27"/>
  <c r="I12" i="27"/>
  <c r="J12" i="27" s="1"/>
  <c r="G12" i="27"/>
  <c r="I11" i="27"/>
  <c r="J11" i="27" s="1"/>
  <c r="G11" i="27"/>
  <c r="I10" i="27"/>
  <c r="J10" i="27" s="1"/>
  <c r="G10" i="27"/>
  <c r="I9" i="27"/>
  <c r="J9" i="27" s="1"/>
  <c r="G9" i="27"/>
  <c r="I8" i="27"/>
  <c r="J8" i="27" s="1"/>
  <c r="G8" i="27"/>
  <c r="I7" i="27"/>
  <c r="J7" i="27" s="1"/>
  <c r="G7" i="27"/>
  <c r="I6" i="27"/>
  <c r="J6" i="27" s="1"/>
  <c r="G6" i="27"/>
  <c r="I4" i="27"/>
  <c r="J4" i="27" s="1"/>
  <c r="G4" i="27"/>
  <c r="I3" i="27"/>
  <c r="J3" i="27" s="1"/>
  <c r="G54" i="2"/>
  <c r="G55" i="2"/>
  <c r="G56" i="2"/>
  <c r="G15" i="2"/>
  <c r="G16" i="2"/>
  <c r="G175" i="2"/>
  <c r="G176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13" i="2"/>
  <c r="G139" i="2"/>
  <c r="G137" i="2"/>
  <c r="G138" i="2"/>
  <c r="G140" i="2"/>
  <c r="G141" i="2"/>
  <c r="G60" i="2"/>
  <c r="G172" i="2"/>
  <c r="G173" i="2"/>
  <c r="G174" i="2"/>
  <c r="G164" i="2"/>
  <c r="G159" i="2"/>
  <c r="G152" i="2"/>
  <c r="G153" i="2"/>
  <c r="G154" i="2"/>
  <c r="G155" i="2"/>
  <c r="G156" i="2"/>
  <c r="G157" i="2"/>
  <c r="G158" i="2"/>
  <c r="G160" i="2"/>
  <c r="G151" i="2"/>
  <c r="G73" i="2"/>
  <c r="G11" i="2"/>
  <c r="G14" i="2"/>
  <c r="G17" i="2"/>
  <c r="G18" i="2"/>
  <c r="G19" i="2"/>
  <c r="G20" i="2"/>
  <c r="G21" i="2"/>
  <c r="G22" i="2"/>
  <c r="G23" i="2"/>
  <c r="G24" i="2"/>
  <c r="G25" i="2"/>
  <c r="G26" i="2"/>
  <c r="G27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H47" i="2" s="1"/>
  <c r="G48" i="2"/>
  <c r="G49" i="2"/>
  <c r="G50" i="2"/>
  <c r="G51" i="2"/>
  <c r="G52" i="2"/>
  <c r="G53" i="2"/>
  <c r="G57" i="2"/>
  <c r="G58" i="2"/>
  <c r="G59" i="2"/>
  <c r="G64" i="2"/>
  <c r="G66" i="2"/>
  <c r="G67" i="2"/>
  <c r="G68" i="2"/>
  <c r="G69" i="2"/>
  <c r="G70" i="2"/>
  <c r="G71" i="2"/>
  <c r="G72" i="2"/>
  <c r="G74" i="2"/>
  <c r="G75" i="2"/>
  <c r="G13" i="2"/>
  <c r="U77" i="2" l="1"/>
  <c r="T77" i="2"/>
  <c r="T78" i="2"/>
  <c r="U78" i="2"/>
  <c r="U168" i="2"/>
  <c r="T168" i="2"/>
  <c r="Q229" i="24"/>
  <c r="T261" i="24"/>
  <c r="T228" i="24"/>
  <c r="S229" i="24"/>
  <c r="P255" i="24"/>
  <c r="J1" i="27"/>
  <c r="T218" i="24"/>
  <c r="Q261" i="24"/>
  <c r="R197" i="24"/>
  <c r="P253" i="24"/>
  <c r="R229" i="24"/>
  <c r="T253" i="24"/>
  <c r="P229" i="24"/>
  <c r="T229" i="24"/>
  <c r="Q255" i="24"/>
  <c r="S208" i="24"/>
  <c r="O240" i="24"/>
  <c r="S261" i="24"/>
  <c r="R257" i="24"/>
  <c r="O95" i="24"/>
  <c r="T211" i="24"/>
  <c r="T197" i="24"/>
  <c r="S167" i="24"/>
  <c r="R262" i="24"/>
  <c r="S138" i="24"/>
  <c r="R185" i="24"/>
  <c r="O255" i="24"/>
  <c r="Q206" i="24"/>
  <c r="T265" i="24"/>
  <c r="S253" i="24"/>
  <c r="P145" i="24"/>
  <c r="T100" i="24"/>
  <c r="P162" i="24"/>
  <c r="O254" i="24"/>
  <c r="R247" i="24"/>
  <c r="S190" i="24"/>
  <c r="Q118" i="24"/>
  <c r="S162" i="24"/>
  <c r="S118" i="24"/>
  <c r="O118" i="24"/>
  <c r="R162" i="24"/>
  <c r="Q100" i="24"/>
  <c r="R118" i="24"/>
  <c r="S97" i="24"/>
  <c r="O247" i="24"/>
  <c r="Q194" i="24"/>
  <c r="S106" i="24"/>
  <c r="O184" i="24"/>
  <c r="O172" i="24"/>
  <c r="Q109" i="24"/>
  <c r="Q138" i="24"/>
  <c r="T125" i="24"/>
  <c r="R109" i="24"/>
  <c r="T115" i="24"/>
  <c r="S262" i="24"/>
  <c r="R167" i="24"/>
  <c r="T114" i="24"/>
  <c r="R119" i="24"/>
  <c r="P115" i="24"/>
  <c r="O167" i="24"/>
  <c r="O235" i="24"/>
  <c r="P119" i="24"/>
  <c r="T167" i="24"/>
  <c r="R183" i="24"/>
  <c r="Q126" i="24"/>
  <c r="P109" i="24"/>
  <c r="Q172" i="24"/>
  <c r="T112" i="24"/>
  <c r="Q112" i="24"/>
  <c r="R221" i="24"/>
  <c r="P112" i="24"/>
  <c r="R129" i="24"/>
  <c r="T210" i="24"/>
  <c r="P106" i="24"/>
  <c r="T267" i="24"/>
  <c r="R112" i="24"/>
  <c r="Q106" i="24"/>
  <c r="T216" i="24"/>
  <c r="Q253" i="24"/>
  <c r="S210" i="24"/>
  <c r="O208" i="24"/>
  <c r="S263" i="24"/>
  <c r="R267" i="24"/>
  <c r="Q240" i="24"/>
  <c r="T263" i="24"/>
  <c r="T190" i="24"/>
  <c r="P261" i="24"/>
  <c r="S112" i="24"/>
  <c r="T109" i="24"/>
  <c r="T106" i="24"/>
  <c r="S216" i="24"/>
  <c r="O253" i="24"/>
  <c r="P259" i="24"/>
  <c r="R210" i="24"/>
  <c r="R106" i="24"/>
  <c r="Q114" i="24"/>
  <c r="O267" i="24"/>
  <c r="S221" i="24"/>
  <c r="T240" i="24"/>
  <c r="R217" i="24"/>
  <c r="P217" i="24"/>
  <c r="R214" i="24"/>
  <c r="P216" i="24"/>
  <c r="T108" i="24"/>
  <c r="S266" i="24"/>
  <c r="P221" i="24"/>
  <c r="T221" i="24"/>
  <c r="S240" i="24"/>
  <c r="P254" i="24"/>
  <c r="T179" i="24"/>
  <c r="R240" i="24"/>
  <c r="T213" i="24"/>
  <c r="S254" i="24"/>
  <c r="T231" i="24"/>
  <c r="Q116" i="24"/>
  <c r="O263" i="24"/>
  <c r="Q221" i="24"/>
  <c r="R263" i="24"/>
  <c r="Q214" i="24"/>
  <c r="P213" i="24"/>
  <c r="S267" i="24"/>
  <c r="R213" i="24"/>
  <c r="R190" i="24"/>
  <c r="P179" i="24"/>
  <c r="S108" i="24"/>
  <c r="O217" i="24"/>
  <c r="P244" i="24"/>
  <c r="S105" i="24"/>
  <c r="P206" i="24"/>
  <c r="P114" i="24"/>
  <c r="R146" i="24"/>
  <c r="T162" i="24"/>
  <c r="S179" i="24"/>
  <c r="O214" i="24"/>
  <c r="T214" i="24"/>
  <c r="Q263" i="24"/>
  <c r="R122" i="24"/>
  <c r="Q182" i="24"/>
  <c r="O121" i="24"/>
  <c r="S121" i="24"/>
  <c r="S195" i="24"/>
  <c r="R244" i="24"/>
  <c r="P146" i="24"/>
  <c r="S161" i="24"/>
  <c r="O178" i="24"/>
  <c r="P178" i="24"/>
  <c r="O231" i="24"/>
  <c r="Q146" i="24"/>
  <c r="R140" i="24"/>
  <c r="S145" i="24"/>
  <c r="R260" i="24"/>
  <c r="T164" i="24"/>
  <c r="Q142" i="24"/>
  <c r="O179" i="24"/>
  <c r="R145" i="24"/>
  <c r="Q218" i="24"/>
  <c r="R254" i="24"/>
  <c r="S164" i="24"/>
  <c r="O216" i="24"/>
  <c r="P118" i="24"/>
  <c r="Q190" i="24"/>
  <c r="T217" i="24"/>
  <c r="Q195" i="24"/>
  <c r="P228" i="24"/>
  <c r="S119" i="24"/>
  <c r="R193" i="24"/>
  <c r="R184" i="24"/>
  <c r="S228" i="24"/>
  <c r="S183" i="24"/>
  <c r="T212" i="24"/>
  <c r="P194" i="24"/>
  <c r="Q184" i="24"/>
  <c r="O164" i="24"/>
  <c r="O223" i="24"/>
  <c r="P257" i="24"/>
  <c r="R188" i="24"/>
  <c r="O259" i="24"/>
  <c r="Q251" i="24"/>
  <c r="T208" i="24"/>
  <c r="P251" i="24"/>
  <c r="S212" i="24"/>
  <c r="T116" i="24"/>
  <c r="Q188" i="24"/>
  <c r="T183" i="24"/>
  <c r="O119" i="24"/>
  <c r="S193" i="24"/>
  <c r="P183" i="24"/>
  <c r="P230" i="24"/>
  <c r="P212" i="24"/>
  <c r="R194" i="24"/>
  <c r="Q259" i="24"/>
  <c r="Q228" i="24"/>
  <c r="Q247" i="24"/>
  <c r="T148" i="24"/>
  <c r="O130" i="24"/>
  <c r="O122" i="24"/>
  <c r="R114" i="24"/>
  <c r="R265" i="24"/>
  <c r="S265" i="24"/>
  <c r="Q257" i="24"/>
  <c r="T206" i="24"/>
  <c r="T194" i="24"/>
  <c r="O138" i="24"/>
  <c r="Q212" i="24"/>
  <c r="S194" i="24"/>
  <c r="T223" i="24"/>
  <c r="T138" i="24"/>
  <c r="S130" i="24"/>
  <c r="S188" i="24"/>
  <c r="S259" i="24"/>
  <c r="P164" i="24"/>
  <c r="T188" i="24"/>
  <c r="S247" i="24"/>
  <c r="S251" i="24"/>
  <c r="P195" i="24"/>
  <c r="O212" i="24"/>
  <c r="T147" i="24"/>
  <c r="O251" i="24"/>
  <c r="R208" i="24"/>
  <c r="O195" i="24"/>
  <c r="S116" i="24"/>
  <c r="R195" i="24"/>
  <c r="R108" i="24"/>
  <c r="S114" i="24"/>
  <c r="P265" i="24"/>
  <c r="S257" i="24"/>
  <c r="S206" i="24"/>
  <c r="Q119" i="24"/>
  <c r="S223" i="24"/>
  <c r="T172" i="24"/>
  <c r="P223" i="24"/>
  <c r="R259" i="24"/>
  <c r="T122" i="24"/>
  <c r="T161" i="24"/>
  <c r="Q219" i="24"/>
  <c r="O257" i="24"/>
  <c r="Q147" i="24"/>
  <c r="Q208" i="24"/>
  <c r="S100" i="24"/>
  <c r="S96" i="24"/>
  <c r="Q108" i="24"/>
  <c r="S91" i="24"/>
  <c r="Q173" i="24"/>
  <c r="O213" i="24"/>
  <c r="O218" i="24"/>
  <c r="T254" i="24"/>
  <c r="O188" i="24"/>
  <c r="P214" i="24"/>
  <c r="Q164" i="24"/>
  <c r="R251" i="24"/>
  <c r="Q267" i="24"/>
  <c r="T95" i="24"/>
  <c r="O210" i="24"/>
  <c r="P167" i="24"/>
  <c r="P116" i="24"/>
  <c r="R179" i="24"/>
  <c r="S172" i="24"/>
  <c r="S120" i="24"/>
  <c r="P182" i="24"/>
  <c r="O100" i="24"/>
  <c r="P247" i="24"/>
  <c r="O120" i="24"/>
  <c r="P210" i="24"/>
  <c r="T128" i="24"/>
  <c r="P128" i="24"/>
  <c r="O148" i="24"/>
  <c r="R116" i="24"/>
  <c r="Q120" i="24"/>
  <c r="S95" i="24"/>
  <c r="O109" i="24"/>
  <c r="O136" i="24"/>
  <c r="Q200" i="24"/>
  <c r="R222" i="24"/>
  <c r="R255" i="24"/>
  <c r="Q239" i="24"/>
  <c r="T182" i="24"/>
  <c r="T222" i="24"/>
  <c r="P172" i="24"/>
  <c r="O91" i="24"/>
  <c r="O94" i="24"/>
  <c r="T140" i="24"/>
  <c r="Q136" i="24"/>
  <c r="P121" i="24"/>
  <c r="S203" i="24"/>
  <c r="Q186" i="24"/>
  <c r="R266" i="24"/>
  <c r="R136" i="24"/>
  <c r="T94" i="24"/>
  <c r="R94" i="24"/>
  <c r="R220" i="24"/>
  <c r="S123" i="24"/>
  <c r="Q203" i="24"/>
  <c r="T186" i="24"/>
  <c r="Q266" i="24"/>
  <c r="R130" i="24"/>
  <c r="P94" i="24"/>
  <c r="P91" i="24"/>
  <c r="S94" i="24"/>
  <c r="R161" i="24"/>
  <c r="O239" i="24"/>
  <c r="P220" i="24"/>
  <c r="Q121" i="24"/>
  <c r="Q123" i="24"/>
  <c r="S122" i="24"/>
  <c r="Q265" i="24"/>
  <c r="T255" i="24"/>
  <c r="P266" i="24"/>
  <c r="R186" i="24"/>
  <c r="Q91" i="24"/>
  <c r="Q130" i="24"/>
  <c r="P186" i="24"/>
  <c r="S140" i="24"/>
  <c r="P239" i="24"/>
  <c r="Q151" i="24"/>
  <c r="S222" i="24"/>
  <c r="O222" i="24"/>
  <c r="O187" i="24"/>
  <c r="S187" i="24"/>
  <c r="Q187" i="24"/>
  <c r="O189" i="24"/>
  <c r="T189" i="24"/>
  <c r="P189" i="24"/>
  <c r="P196" i="24"/>
  <c r="T196" i="24"/>
  <c r="S196" i="24"/>
  <c r="T260" i="24"/>
  <c r="S197" i="24"/>
  <c r="R235" i="24"/>
  <c r="P211" i="24"/>
  <c r="S142" i="24"/>
  <c r="O97" i="24"/>
  <c r="P125" i="24"/>
  <c r="S218" i="24"/>
  <c r="P130" i="24"/>
  <c r="S192" i="24"/>
  <c r="S237" i="24"/>
  <c r="T91" i="24"/>
  <c r="Q161" i="24"/>
  <c r="S219" i="24"/>
  <c r="O161" i="24"/>
  <c r="R228" i="24"/>
  <c r="R239" i="24"/>
  <c r="S186" i="24"/>
  <c r="O211" i="24"/>
  <c r="S136" i="24"/>
  <c r="O151" i="24"/>
  <c r="R189" i="24"/>
  <c r="P234" i="24"/>
  <c r="P231" i="24"/>
  <c r="S205" i="24"/>
  <c r="P260" i="24"/>
  <c r="O198" i="24"/>
  <c r="R187" i="24"/>
  <c r="Q234" i="24"/>
  <c r="Q262" i="24"/>
  <c r="O192" i="24"/>
  <c r="T198" i="24"/>
  <c r="P235" i="24"/>
  <c r="P258" i="24"/>
  <c r="S211" i="24"/>
  <c r="O197" i="24"/>
  <c r="P219" i="24"/>
  <c r="Q189" i="24"/>
  <c r="Q205" i="24"/>
  <c r="P193" i="24"/>
  <c r="R196" i="24"/>
  <c r="T245" i="24"/>
  <c r="O202" i="24"/>
  <c r="P237" i="24"/>
  <c r="Q260" i="24"/>
  <c r="S230" i="24"/>
  <c r="T202" i="24"/>
  <c r="T235" i="24"/>
  <c r="R211" i="24"/>
  <c r="T192" i="24"/>
  <c r="Q192" i="24"/>
  <c r="Q237" i="24"/>
  <c r="O219" i="24"/>
  <c r="S198" i="24"/>
  <c r="P205" i="24"/>
  <c r="R234" i="24"/>
  <c r="T205" i="24"/>
  <c r="R258" i="24"/>
  <c r="R198" i="24"/>
  <c r="P200" i="24"/>
  <c r="O200" i="24"/>
  <c r="T244" i="24"/>
  <c r="O244" i="24"/>
  <c r="S220" i="24"/>
  <c r="Q220" i="24"/>
  <c r="R224" i="24"/>
  <c r="O224" i="24"/>
  <c r="P224" i="24"/>
  <c r="Q224" i="24"/>
  <c r="O203" i="24"/>
  <c r="T203" i="24"/>
  <c r="S202" i="24"/>
  <c r="S235" i="24"/>
  <c r="R192" i="24"/>
  <c r="Q245" i="24"/>
  <c r="T193" i="24"/>
  <c r="R219" i="24"/>
  <c r="P262" i="24"/>
  <c r="P245" i="24"/>
  <c r="O260" i="24"/>
  <c r="Q196" i="24"/>
  <c r="S234" i="24"/>
  <c r="O258" i="24"/>
  <c r="T262" i="24"/>
  <c r="R218" i="24"/>
  <c r="O266" i="24"/>
  <c r="R206" i="24"/>
  <c r="Q223" i="24"/>
  <c r="P222" i="24"/>
  <c r="S231" i="24"/>
  <c r="T200" i="24"/>
  <c r="Q244" i="24"/>
  <c r="Q216" i="24"/>
  <c r="T220" i="24"/>
  <c r="S217" i="24"/>
  <c r="T224" i="24"/>
  <c r="T239" i="24"/>
  <c r="Q213" i="24"/>
  <c r="R203" i="24"/>
  <c r="P190" i="24"/>
  <c r="R261" i="24"/>
  <c r="R245" i="24"/>
  <c r="S155" i="24"/>
  <c r="R237" i="24"/>
  <c r="P97" i="24"/>
  <c r="R202" i="24"/>
  <c r="Q97" i="24"/>
  <c r="T230" i="24"/>
  <c r="R230" i="24"/>
  <c r="T87" i="24"/>
  <c r="P197" i="24"/>
  <c r="S245" i="24"/>
  <c r="T237" i="24"/>
  <c r="P122" i="24"/>
  <c r="O183" i="24"/>
  <c r="Q193" i="24"/>
  <c r="S189" i="24"/>
  <c r="T123" i="24"/>
  <c r="O142" i="24"/>
  <c r="P198" i="24"/>
  <c r="Q231" i="24"/>
  <c r="O146" i="24"/>
  <c r="Q258" i="24"/>
  <c r="P147" i="24"/>
  <c r="S181" i="24"/>
  <c r="S125" i="24"/>
  <c r="P151" i="24"/>
  <c r="R138" i="24"/>
  <c r="R207" i="24"/>
  <c r="P207" i="24"/>
  <c r="S207" i="24"/>
  <c r="Q207" i="24"/>
  <c r="O207" i="24"/>
  <c r="Q202" i="24"/>
  <c r="P187" i="24"/>
  <c r="O205" i="24"/>
  <c r="T258" i="24"/>
  <c r="S151" i="24"/>
  <c r="O234" i="24"/>
  <c r="R200" i="24"/>
  <c r="R151" i="24"/>
  <c r="O230" i="24"/>
  <c r="S101" i="24"/>
  <c r="R101" i="24"/>
  <c r="O104" i="24"/>
  <c r="T104" i="24"/>
  <c r="S104" i="24"/>
  <c r="R171" i="24"/>
  <c r="P171" i="24"/>
  <c r="T139" i="24"/>
  <c r="P99" i="24"/>
  <c r="S111" i="24"/>
  <c r="P126" i="24"/>
  <c r="Q180" i="24"/>
  <c r="Q181" i="24"/>
  <c r="Q128" i="24"/>
  <c r="S129" i="24"/>
  <c r="T181" i="24"/>
  <c r="P173" i="24"/>
  <c r="Q96" i="24"/>
  <c r="O96" i="24"/>
  <c r="O180" i="24"/>
  <c r="P111" i="24"/>
  <c r="P101" i="24"/>
  <c r="P104" i="24"/>
  <c r="P185" i="24"/>
  <c r="P127" i="24"/>
  <c r="T129" i="24"/>
  <c r="O105" i="24"/>
  <c r="R152" i="24"/>
  <c r="P181" i="24"/>
  <c r="R173" i="24"/>
  <c r="R143" i="24"/>
  <c r="P139" i="24"/>
  <c r="S126" i="24"/>
  <c r="S99" i="24"/>
  <c r="Q155" i="24"/>
  <c r="P158" i="24"/>
  <c r="Q174" i="24"/>
  <c r="S171" i="24"/>
  <c r="P180" i="24"/>
  <c r="O185" i="24"/>
  <c r="Q171" i="24"/>
  <c r="P136" i="24"/>
  <c r="R139" i="24"/>
  <c r="P142" i="24"/>
  <c r="Q87" i="24"/>
  <c r="T173" i="24"/>
  <c r="R99" i="24"/>
  <c r="T145" i="24"/>
  <c r="O101" i="24"/>
  <c r="T155" i="24"/>
  <c r="R111" i="24"/>
  <c r="R126" i="24"/>
  <c r="O126" i="24"/>
  <c r="R100" i="24"/>
  <c r="Q140" i="24"/>
  <c r="Q145" i="24"/>
  <c r="T111" i="24"/>
  <c r="R147" i="24"/>
  <c r="Q129" i="24"/>
  <c r="O182" i="24"/>
  <c r="P129" i="24"/>
  <c r="O108" i="24"/>
  <c r="Q143" i="24"/>
  <c r="S182" i="24"/>
  <c r="S143" i="24"/>
  <c r="O143" i="24"/>
  <c r="Q125" i="24"/>
  <c r="R125" i="24"/>
  <c r="R95" i="24"/>
  <c r="Q95" i="24"/>
  <c r="O123" i="24"/>
  <c r="P123" i="24"/>
  <c r="S184" i="24"/>
  <c r="T184" i="24"/>
  <c r="S115" i="24"/>
  <c r="O115" i="24"/>
  <c r="Q115" i="24"/>
  <c r="P120" i="24"/>
  <c r="T120" i="24"/>
  <c r="S128" i="24"/>
  <c r="O128" i="24"/>
  <c r="Q127" i="24"/>
  <c r="T127" i="24"/>
  <c r="O127" i="24"/>
  <c r="T158" i="24"/>
  <c r="S158" i="24"/>
  <c r="R158" i="24"/>
  <c r="S180" i="24"/>
  <c r="S185" i="24"/>
  <c r="S139" i="24"/>
  <c r="Q99" i="24"/>
  <c r="O155" i="24"/>
  <c r="T99" i="24"/>
  <c r="Q101" i="24"/>
  <c r="O171" i="24"/>
  <c r="O174" i="24"/>
  <c r="P174" i="24"/>
  <c r="P152" i="24"/>
  <c r="R104" i="24"/>
  <c r="Q158" i="24"/>
  <c r="Q152" i="24"/>
  <c r="R155" i="24"/>
  <c r="Q105" i="24"/>
  <c r="R180" i="24"/>
  <c r="Q185" i="24"/>
  <c r="T101" i="24"/>
  <c r="Q111" i="24"/>
  <c r="P105" i="24"/>
  <c r="O152" i="24"/>
  <c r="Q139" i="24"/>
  <c r="T174" i="24"/>
  <c r="R105" i="24"/>
  <c r="Q104" i="24"/>
  <c r="O181" i="24"/>
  <c r="R156" i="24"/>
  <c r="O156" i="24"/>
  <c r="Q156" i="24"/>
  <c r="T156" i="24"/>
  <c r="S148" i="24"/>
  <c r="Q148" i="24"/>
  <c r="T110" i="24"/>
  <c r="O110" i="24"/>
  <c r="Q110" i="24"/>
  <c r="P110" i="24"/>
  <c r="R110" i="24"/>
  <c r="T178" i="24"/>
  <c r="S178" i="24"/>
  <c r="O163" i="24"/>
  <c r="P163" i="24"/>
  <c r="S163" i="24"/>
  <c r="Q163" i="24"/>
  <c r="P96" i="24"/>
  <c r="R96" i="24"/>
  <c r="S173" i="24"/>
  <c r="T152" i="24"/>
  <c r="S174" i="24"/>
  <c r="R127" i="24"/>
  <c r="P143" i="24"/>
  <c r="T121" i="24"/>
  <c r="P156" i="24"/>
  <c r="Q162" i="24"/>
  <c r="R97" i="24"/>
  <c r="S147" i="24"/>
  <c r="T142" i="24"/>
  <c r="R148" i="24"/>
  <c r="S146" i="24"/>
  <c r="S110" i="24"/>
  <c r="R178" i="24"/>
  <c r="P140" i="24"/>
  <c r="T163" i="24"/>
  <c r="O87" i="24"/>
  <c r="P87" i="24"/>
  <c r="R87" i="24"/>
  <c r="AS39" i="24"/>
  <c r="L39" i="24" s="1"/>
  <c r="AS40" i="24"/>
  <c r="L40" i="24" s="1"/>
  <c r="J32" i="27"/>
  <c r="AS47" i="24"/>
  <c r="L47" i="24" s="1"/>
  <c r="AS41" i="24"/>
  <c r="L41" i="24" s="1"/>
  <c r="AS35" i="24"/>
  <c r="L35" i="24" s="1"/>
  <c r="AS29" i="24"/>
  <c r="L29" i="24" s="1"/>
  <c r="AS22" i="24"/>
  <c r="L22" i="24" s="1"/>
  <c r="AS65" i="24"/>
  <c r="L65" i="24" s="1"/>
  <c r="AS59" i="24"/>
  <c r="L59" i="24" s="1"/>
  <c r="AS53" i="24"/>
  <c r="L53" i="24" s="1"/>
  <c r="AS27" i="24"/>
  <c r="L27" i="24" s="1"/>
  <c r="AS26" i="24"/>
  <c r="L26" i="24" s="1"/>
  <c r="AS50" i="24"/>
  <c r="L50" i="24" s="1"/>
  <c r="AS32" i="24"/>
  <c r="L32" i="24" s="1"/>
  <c r="AS62" i="24"/>
  <c r="L62" i="24" s="1"/>
  <c r="AS49" i="24"/>
  <c r="L49" i="24" s="1"/>
  <c r="AS43" i="24"/>
  <c r="L43" i="24" s="1"/>
  <c r="AS37" i="24"/>
  <c r="L37" i="24" s="1"/>
  <c r="AS31" i="24"/>
  <c r="L31" i="24" s="1"/>
  <c r="AS24" i="24"/>
  <c r="L24" i="24" s="1"/>
  <c r="AS67" i="24"/>
  <c r="L67" i="24" s="1"/>
  <c r="AS61" i="24"/>
  <c r="L61" i="24" s="1"/>
  <c r="AS55" i="24"/>
  <c r="L55" i="24" s="1"/>
  <c r="AS44" i="24"/>
  <c r="L44" i="24" s="1"/>
  <c r="AS38" i="24"/>
  <c r="L38" i="24" s="1"/>
  <c r="AS56" i="24"/>
  <c r="L56" i="24" s="1"/>
  <c r="AS48" i="24"/>
  <c r="L48" i="24" s="1"/>
  <c r="AS42" i="24"/>
  <c r="L42" i="24" s="1"/>
  <c r="AS36" i="24"/>
  <c r="L36" i="24" s="1"/>
  <c r="AS30" i="24"/>
  <c r="L30" i="24" s="1"/>
  <c r="AS23" i="24"/>
  <c r="L23" i="24" s="1"/>
  <c r="AS66" i="24"/>
  <c r="L66" i="24" s="1"/>
  <c r="AS60" i="24"/>
  <c r="L60" i="24" s="1"/>
  <c r="AS54" i="24"/>
  <c r="L54" i="24" s="1"/>
  <c r="J29" i="26"/>
  <c r="K29" i="26" s="1"/>
  <c r="N29" i="26" s="1"/>
  <c r="Q29" i="26" s="1"/>
  <c r="P28" i="26"/>
  <c r="M28" i="26"/>
  <c r="J28" i="26"/>
  <c r="K28" i="26" s="1"/>
  <c r="N28" i="26" s="1"/>
  <c r="P27" i="26"/>
  <c r="M27" i="26"/>
  <c r="J27" i="26"/>
  <c r="K27" i="26" s="1"/>
  <c r="N27" i="26" s="1"/>
  <c r="Q27" i="26" s="1"/>
  <c r="P26" i="26"/>
  <c r="M26" i="26"/>
  <c r="J26" i="26"/>
  <c r="K26" i="26" s="1"/>
  <c r="N26" i="26" s="1"/>
  <c r="J25" i="26"/>
  <c r="K25" i="26" s="1"/>
  <c r="N25" i="26" s="1"/>
  <c r="Q25" i="26" s="1"/>
  <c r="P24" i="26"/>
  <c r="M24" i="26"/>
  <c r="J24" i="26"/>
  <c r="K24" i="26" s="1"/>
  <c r="P23" i="26"/>
  <c r="M23" i="26"/>
  <c r="J23" i="26"/>
  <c r="K23" i="26" s="1"/>
  <c r="P22" i="26"/>
  <c r="M22" i="26"/>
  <c r="J22" i="26"/>
  <c r="K22" i="26" s="1"/>
  <c r="P21" i="26"/>
  <c r="M21" i="26"/>
  <c r="J21" i="26"/>
  <c r="K21" i="26" s="1"/>
  <c r="P20" i="26"/>
  <c r="M20" i="26"/>
  <c r="J20" i="26"/>
  <c r="K20" i="26" s="1"/>
  <c r="P19" i="26"/>
  <c r="M19" i="26"/>
  <c r="J19" i="26"/>
  <c r="K19" i="26" s="1"/>
  <c r="P18" i="26"/>
  <c r="M18" i="26"/>
  <c r="J18" i="26"/>
  <c r="K18" i="26" s="1"/>
  <c r="P17" i="26"/>
  <c r="M17" i="26"/>
  <c r="J17" i="26"/>
  <c r="K17" i="26" s="1"/>
  <c r="P16" i="26"/>
  <c r="M16" i="26"/>
  <c r="J16" i="26"/>
  <c r="K16" i="26" s="1"/>
  <c r="N16" i="26" s="1"/>
  <c r="Q16" i="26" s="1"/>
  <c r="K15" i="26"/>
  <c r="N15" i="26" s="1"/>
  <c r="Q15" i="26" s="1"/>
  <c r="J14" i="26"/>
  <c r="K14" i="26" s="1"/>
  <c r="N14" i="26" s="1"/>
  <c r="Q14" i="26" s="1"/>
  <c r="J13" i="26"/>
  <c r="K13" i="26" s="1"/>
  <c r="N13" i="26" s="1"/>
  <c r="Q13" i="26" s="1"/>
  <c r="J12" i="26"/>
  <c r="K12" i="26" s="1"/>
  <c r="N12" i="26" s="1"/>
  <c r="Q12" i="26" s="1"/>
  <c r="M11" i="26"/>
  <c r="J11" i="26"/>
  <c r="K11" i="26" s="1"/>
  <c r="N11" i="26" s="1"/>
  <c r="Q11" i="26" s="1"/>
  <c r="J10" i="26"/>
  <c r="K10" i="26" s="1"/>
  <c r="N10" i="26" s="1"/>
  <c r="Q10" i="26" s="1"/>
  <c r="M9" i="26"/>
  <c r="J9" i="26"/>
  <c r="K9" i="26" s="1"/>
  <c r="P8" i="26"/>
  <c r="M8" i="26"/>
  <c r="J8" i="26"/>
  <c r="K8" i="26" s="1"/>
  <c r="N8" i="26" s="1"/>
  <c r="Q8" i="26" s="1"/>
  <c r="P7" i="26"/>
  <c r="M7" i="26"/>
  <c r="J7" i="26"/>
  <c r="K7" i="26" s="1"/>
  <c r="J6" i="26"/>
  <c r="M6" i="26" s="1"/>
  <c r="J5" i="26"/>
  <c r="K5" i="26" s="1"/>
  <c r="N18" i="26" l="1"/>
  <c r="Q18" i="26" s="1"/>
  <c r="N20" i="26"/>
  <c r="Q20" i="26" s="1"/>
  <c r="N22" i="26"/>
  <c r="Q22" i="26" s="1"/>
  <c r="N17" i="26"/>
  <c r="Q17" i="26" s="1"/>
  <c r="N19" i="26"/>
  <c r="Q19" i="26" s="1"/>
  <c r="N21" i="26"/>
  <c r="Q21" i="26" s="1"/>
  <c r="N23" i="26"/>
  <c r="Q23" i="26" s="1"/>
  <c r="AS46" i="24"/>
  <c r="L46" i="24" s="1"/>
  <c r="AS51" i="24"/>
  <c r="AS52" i="24"/>
  <c r="L52" i="24" s="1"/>
  <c r="AS58" i="24"/>
  <c r="L58" i="24" s="1"/>
  <c r="AS64" i="24"/>
  <c r="L64" i="24" s="1"/>
  <c r="AS57" i="24"/>
  <c r="AS63" i="24"/>
  <c r="L63" i="24" s="1"/>
  <c r="R78" i="24" s="1"/>
  <c r="AS45" i="24"/>
  <c r="R55" i="24"/>
  <c r="P54" i="24"/>
  <c r="AS28" i="24"/>
  <c r="AS33" i="24"/>
  <c r="L33" i="24" s="1"/>
  <c r="T48" i="24" s="1"/>
  <c r="N24" i="26"/>
  <c r="Q24" i="26" s="1"/>
  <c r="Q26" i="26"/>
  <c r="Q28" i="26"/>
  <c r="N7" i="26"/>
  <c r="Q7" i="26" s="1"/>
  <c r="N9" i="26"/>
  <c r="Q9" i="26" s="1"/>
  <c r="N6" i="26"/>
  <c r="P6" i="26"/>
  <c r="Q6" i="26" s="1"/>
  <c r="K6" i="26"/>
  <c r="M5" i="26"/>
  <c r="L57" i="24" l="1"/>
  <c r="R72" i="24" s="1"/>
  <c r="L51" i="24"/>
  <c r="O66" i="24" s="1"/>
  <c r="L45" i="24"/>
  <c r="Q60" i="24" s="1"/>
  <c r="L28" i="24"/>
  <c r="T43" i="24" s="1"/>
  <c r="T73" i="24"/>
  <c r="S73" i="24"/>
  <c r="O61" i="24"/>
  <c r="T61" i="24"/>
  <c r="P61" i="24"/>
  <c r="R61" i="24"/>
  <c r="Q61" i="24"/>
  <c r="Q73" i="24"/>
  <c r="T55" i="24"/>
  <c r="O73" i="24"/>
  <c r="R73" i="24"/>
  <c r="P79" i="24"/>
  <c r="O79" i="24"/>
  <c r="S79" i="24"/>
  <c r="Q79" i="24"/>
  <c r="T79" i="24"/>
  <c r="R79" i="24"/>
  <c r="R67" i="24"/>
  <c r="S67" i="24"/>
  <c r="O67" i="24"/>
  <c r="T67" i="24"/>
  <c r="Q67" i="24"/>
  <c r="P67" i="24"/>
  <c r="S55" i="24"/>
  <c r="S61" i="24"/>
  <c r="Q55" i="24"/>
  <c r="P73" i="24"/>
  <c r="P55" i="24"/>
  <c r="O55" i="24"/>
  <c r="S78" i="24"/>
  <c r="Q54" i="24"/>
  <c r="T78" i="24"/>
  <c r="T54" i="24"/>
  <c r="O78" i="24"/>
  <c r="R54" i="24"/>
  <c r="Q78" i="24"/>
  <c r="S48" i="24"/>
  <c r="S54" i="24"/>
  <c r="R48" i="24"/>
  <c r="O54" i="24"/>
  <c r="Q48" i="24"/>
  <c r="P78" i="24"/>
  <c r="P48" i="24"/>
  <c r="T83" i="24"/>
  <c r="O83" i="24"/>
  <c r="Q83" i="24"/>
  <c r="S83" i="24"/>
  <c r="P83" i="24"/>
  <c r="R83" i="24"/>
  <c r="O48" i="24"/>
  <c r="R76" i="24"/>
  <c r="S76" i="24"/>
  <c r="P76" i="24"/>
  <c r="T76" i="24"/>
  <c r="Q76" i="24"/>
  <c r="P80" i="24"/>
  <c r="Q80" i="24"/>
  <c r="T80" i="24"/>
  <c r="S80" i="24"/>
  <c r="R80" i="24"/>
  <c r="Q81" i="24"/>
  <c r="R81" i="24"/>
  <c r="S81" i="24"/>
  <c r="T81" i="24"/>
  <c r="P81" i="24"/>
  <c r="P74" i="24"/>
  <c r="Q74" i="24"/>
  <c r="T74" i="24"/>
  <c r="R74" i="24"/>
  <c r="S74" i="24"/>
  <c r="S77" i="24"/>
  <c r="T77" i="24"/>
  <c r="Q77" i="24"/>
  <c r="R77" i="24"/>
  <c r="P77" i="24"/>
  <c r="R82" i="24"/>
  <c r="P82" i="24"/>
  <c r="S82" i="24"/>
  <c r="Q82" i="24"/>
  <c r="T82" i="24"/>
  <c r="Q75" i="24"/>
  <c r="R75" i="24"/>
  <c r="P75" i="24"/>
  <c r="T75" i="24"/>
  <c r="S75" i="24"/>
  <c r="T50" i="24"/>
  <c r="P50" i="24"/>
  <c r="Q50" i="24"/>
  <c r="R50" i="24"/>
  <c r="S50" i="24"/>
  <c r="P58" i="24"/>
  <c r="Q58" i="24"/>
  <c r="R58" i="24"/>
  <c r="S58" i="24"/>
  <c r="T58" i="24"/>
  <c r="P51" i="24"/>
  <c r="Q51" i="24"/>
  <c r="R51" i="24"/>
  <c r="S51" i="24"/>
  <c r="T51" i="24"/>
  <c r="T44" i="24"/>
  <c r="P44" i="24"/>
  <c r="Q44" i="24"/>
  <c r="R44" i="24"/>
  <c r="S44" i="24"/>
  <c r="P52" i="24"/>
  <c r="Q52" i="24"/>
  <c r="R52" i="24"/>
  <c r="S52" i="24"/>
  <c r="T52" i="24"/>
  <c r="Q59" i="24"/>
  <c r="R59" i="24"/>
  <c r="S59" i="24"/>
  <c r="T59" i="24"/>
  <c r="P59" i="24"/>
  <c r="P46" i="24"/>
  <c r="Q46" i="24"/>
  <c r="R46" i="24"/>
  <c r="S46" i="24"/>
  <c r="T46" i="24"/>
  <c r="Q53" i="24"/>
  <c r="R53" i="24"/>
  <c r="S53" i="24"/>
  <c r="T53" i="24"/>
  <c r="P53" i="24"/>
  <c r="Q47" i="24"/>
  <c r="R47" i="24"/>
  <c r="S47" i="24"/>
  <c r="T47" i="24"/>
  <c r="P47" i="24"/>
  <c r="Q71" i="24"/>
  <c r="R71" i="24"/>
  <c r="S71" i="24"/>
  <c r="T71" i="24"/>
  <c r="P71" i="24"/>
  <c r="T62" i="24"/>
  <c r="P62" i="24"/>
  <c r="Q62" i="24"/>
  <c r="R62" i="24"/>
  <c r="S62" i="24"/>
  <c r="P63" i="24"/>
  <c r="Q63" i="24"/>
  <c r="R63" i="24"/>
  <c r="S63" i="24"/>
  <c r="T63" i="24"/>
  <c r="T56" i="24"/>
  <c r="P56" i="24"/>
  <c r="Q56" i="24"/>
  <c r="R56" i="24"/>
  <c r="S56" i="24"/>
  <c r="T68" i="24"/>
  <c r="P68" i="24"/>
  <c r="Q68" i="24"/>
  <c r="R68" i="24"/>
  <c r="S68" i="24"/>
  <c r="P64" i="24"/>
  <c r="Q64" i="24"/>
  <c r="R64" i="24"/>
  <c r="S64" i="24"/>
  <c r="T64" i="24"/>
  <c r="P57" i="24"/>
  <c r="Q57" i="24"/>
  <c r="R57" i="24"/>
  <c r="S57" i="24"/>
  <c r="T57" i="24"/>
  <c r="P69" i="24"/>
  <c r="Q69" i="24"/>
  <c r="R69" i="24"/>
  <c r="S69" i="24"/>
  <c r="T69" i="24"/>
  <c r="R42" i="24"/>
  <c r="S42" i="24"/>
  <c r="T42" i="24"/>
  <c r="Q42" i="24"/>
  <c r="P42" i="24"/>
  <c r="P70" i="24"/>
  <c r="Q70" i="24"/>
  <c r="R70" i="24"/>
  <c r="S70" i="24"/>
  <c r="T70" i="24"/>
  <c r="P45" i="24"/>
  <c r="Q45" i="24"/>
  <c r="R45" i="24"/>
  <c r="S45" i="24"/>
  <c r="T45" i="24"/>
  <c r="Q65" i="24"/>
  <c r="R65" i="24"/>
  <c r="S65" i="24"/>
  <c r="T65" i="24"/>
  <c r="P65" i="24"/>
  <c r="P38" i="24"/>
  <c r="Q38" i="24"/>
  <c r="R38" i="24"/>
  <c r="S38" i="24"/>
  <c r="T38" i="24"/>
  <c r="Q39" i="24"/>
  <c r="R39" i="24"/>
  <c r="S39" i="24"/>
  <c r="T39" i="24"/>
  <c r="P39" i="24"/>
  <c r="O50" i="24"/>
  <c r="O58" i="24"/>
  <c r="O52" i="24"/>
  <c r="O45" i="24"/>
  <c r="O65" i="24"/>
  <c r="O46" i="24"/>
  <c r="O53" i="24"/>
  <c r="O38" i="24"/>
  <c r="O80" i="24"/>
  <c r="O47" i="24"/>
  <c r="O39" i="24"/>
  <c r="O71" i="24"/>
  <c r="O81" i="24"/>
  <c r="O62" i="24"/>
  <c r="O74" i="24"/>
  <c r="O77" i="24"/>
  <c r="O82" i="24"/>
  <c r="O63" i="24"/>
  <c r="O75" i="24"/>
  <c r="O56" i="24"/>
  <c r="O68" i="24"/>
  <c r="O64" i="24"/>
  <c r="O76" i="24"/>
  <c r="O57" i="24"/>
  <c r="O69" i="24"/>
  <c r="O59" i="24"/>
  <c r="O51" i="24"/>
  <c r="O42" i="24"/>
  <c r="O70" i="24"/>
  <c r="O44" i="24"/>
  <c r="P5" i="26"/>
  <c r="Q5" i="26" s="1"/>
  <c r="N5" i="26"/>
  <c r="T72" i="24" l="1"/>
  <c r="P43" i="24"/>
  <c r="O72" i="24"/>
  <c r="Q43" i="24"/>
  <c r="S43" i="24"/>
  <c r="Q72" i="24"/>
  <c r="S72" i="24"/>
  <c r="O43" i="24"/>
  <c r="R60" i="24"/>
  <c r="S60" i="24"/>
  <c r="R66" i="24"/>
  <c r="P72" i="24"/>
  <c r="Q66" i="24"/>
  <c r="S66" i="24"/>
  <c r="T66" i="24"/>
  <c r="P66" i="24"/>
  <c r="T60" i="24"/>
  <c r="P60" i="24"/>
  <c r="O60" i="24"/>
  <c r="R43" i="24"/>
  <c r="U5" i="25" a="1"/>
  <c r="U5" i="25" s="1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7" i="2"/>
  <c r="L138" i="2"/>
  <c r="L139" i="2"/>
  <c r="L140" i="2"/>
  <c r="L141" i="2"/>
  <c r="L151" i="2"/>
  <c r="L152" i="2"/>
  <c r="L153" i="2"/>
  <c r="L154" i="2"/>
  <c r="L155" i="2"/>
  <c r="L156" i="2"/>
  <c r="L157" i="2"/>
  <c r="L158" i="2"/>
  <c r="L159" i="2"/>
  <c r="L160" i="2"/>
  <c r="L164" i="2"/>
  <c r="R6" i="24"/>
  <c r="R7" i="24"/>
  <c r="R8" i="24"/>
  <c r="R9" i="24"/>
  <c r="R10" i="24"/>
  <c r="S6" i="24"/>
  <c r="S7" i="24"/>
  <c r="S8" i="24"/>
  <c r="S9" i="24"/>
  <c r="S10" i="24"/>
  <c r="S5" i="24"/>
  <c r="Q6" i="24"/>
  <c r="Q7" i="24"/>
  <c r="Q8" i="24"/>
  <c r="Q9" i="24"/>
  <c r="Q10" i="24"/>
  <c r="Q5" i="24"/>
  <c r="H6" i="25"/>
  <c r="H7" i="25"/>
  <c r="H8" i="25"/>
  <c r="H9" i="25"/>
  <c r="H10" i="25"/>
  <c r="H5" i="25"/>
  <c r="M20" i="25"/>
  <c r="L22" i="25"/>
  <c r="L23" i="25" s="1"/>
  <c r="L21" i="25"/>
  <c r="M21" i="25" s="1"/>
  <c r="E23" i="25"/>
  <c r="P6" i="24" s="1"/>
  <c r="AC4" i="24" s="1"/>
  <c r="E24" i="25"/>
  <c r="G24" i="25" s="1"/>
  <c r="E25" i="25"/>
  <c r="H25" i="25" s="1"/>
  <c r="E26" i="25"/>
  <c r="P9" i="24" s="1"/>
  <c r="E27" i="25"/>
  <c r="I27" i="25" s="1"/>
  <c r="I22" i="25"/>
  <c r="F15" i="25"/>
  <c r="T94" i="2" l="1"/>
  <c r="U94" i="2"/>
  <c r="U79" i="2"/>
  <c r="T79" i="2"/>
  <c r="T97" i="2"/>
  <c r="U97" i="2"/>
  <c r="T106" i="2"/>
  <c r="U106" i="2"/>
  <c r="T76" i="2"/>
  <c r="U76" i="2"/>
  <c r="T58" i="2"/>
  <c r="U58" i="2"/>
  <c r="T109" i="2"/>
  <c r="U109" i="2"/>
  <c r="U138" i="2"/>
  <c r="T138" i="2"/>
  <c r="T85" i="2"/>
  <c r="U85" i="2"/>
  <c r="U161" i="2"/>
  <c r="T161" i="2"/>
  <c r="T88" i="2"/>
  <c r="U88" i="2"/>
  <c r="T60" i="2"/>
  <c r="U60" i="2"/>
  <c r="T103" i="2"/>
  <c r="U103" i="2"/>
  <c r="T82" i="2"/>
  <c r="U82" i="2"/>
  <c r="U59" i="2"/>
  <c r="T59" i="2"/>
  <c r="U165" i="2"/>
  <c r="T165" i="2"/>
  <c r="T91" i="2"/>
  <c r="U91" i="2"/>
  <c r="T100" i="2"/>
  <c r="U100" i="2"/>
  <c r="AJ4" i="24"/>
  <c r="I23" i="25"/>
  <c r="H23" i="25"/>
  <c r="F23" i="25"/>
  <c r="M23" i="25"/>
  <c r="C17" i="25"/>
  <c r="L24" i="25"/>
  <c r="M22" i="25"/>
  <c r="P8" i="24"/>
  <c r="G27" i="25"/>
  <c r="F24" i="25"/>
  <c r="G26" i="25"/>
  <c r="H24" i="25"/>
  <c r="I24" i="25"/>
  <c r="P7" i="24"/>
  <c r="AC6" i="24" s="1"/>
  <c r="AQ6" i="24" s="1"/>
  <c r="G25" i="25"/>
  <c r="I25" i="25"/>
  <c r="P10" i="24"/>
  <c r="AS34" i="24" s="1"/>
  <c r="L34" i="24" s="1"/>
  <c r="F25" i="25"/>
  <c r="F26" i="25"/>
  <c r="H26" i="25"/>
  <c r="I26" i="25"/>
  <c r="F27" i="25"/>
  <c r="G23" i="25"/>
  <c r="H27" i="25"/>
  <c r="P5" i="24"/>
  <c r="AC5" i="24" s="1"/>
  <c r="G15" i="25"/>
  <c r="G22" i="25"/>
  <c r="H22" i="25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M47" i="2" s="1"/>
  <c r="M8" i="2" s="1"/>
  <c r="L48" i="2"/>
  <c r="L49" i="2"/>
  <c r="L50" i="2"/>
  <c r="L51" i="2"/>
  <c r="L52" i="2"/>
  <c r="L53" i="2"/>
  <c r="L54" i="2"/>
  <c r="L55" i="2"/>
  <c r="L56" i="2"/>
  <c r="L57" i="2"/>
  <c r="L64" i="2"/>
  <c r="L65" i="2"/>
  <c r="L66" i="2"/>
  <c r="L67" i="2"/>
  <c r="L68" i="2"/>
  <c r="L69" i="2"/>
  <c r="L70" i="2"/>
  <c r="L71" i="2"/>
  <c r="L72" i="2"/>
  <c r="L73" i="2"/>
  <c r="L74" i="2"/>
  <c r="L75" i="2"/>
  <c r="L172" i="2"/>
  <c r="L173" i="2"/>
  <c r="L174" i="2"/>
  <c r="L175" i="2"/>
  <c r="L176" i="2"/>
  <c r="L177" i="2"/>
  <c r="T157" i="2" l="1"/>
  <c r="U157" i="2"/>
  <c r="U123" i="2"/>
  <c r="T123" i="2"/>
  <c r="U117" i="2"/>
  <c r="T117" i="2"/>
  <c r="U57" i="2"/>
  <c r="T57" i="2"/>
  <c r="U39" i="2"/>
  <c r="T39" i="2"/>
  <c r="U17" i="2"/>
  <c r="T17" i="2"/>
  <c r="T172" i="2"/>
  <c r="U172" i="2"/>
  <c r="U141" i="2"/>
  <c r="T141" i="2"/>
  <c r="U128" i="2"/>
  <c r="T128" i="2"/>
  <c r="U116" i="2"/>
  <c r="T116" i="2"/>
  <c r="T74" i="2"/>
  <c r="U74" i="2"/>
  <c r="U56" i="2"/>
  <c r="T56" i="2"/>
  <c r="T50" i="2"/>
  <c r="U50" i="2"/>
  <c r="T44" i="2"/>
  <c r="U44" i="2"/>
  <c r="T38" i="2"/>
  <c r="U38" i="2"/>
  <c r="T32" i="2"/>
  <c r="U32" i="2"/>
  <c r="T22" i="2"/>
  <c r="U22" i="2"/>
  <c r="T16" i="2"/>
  <c r="U16" i="2"/>
  <c r="U177" i="2"/>
  <c r="T177" i="2"/>
  <c r="U164" i="2"/>
  <c r="T164" i="2"/>
  <c r="U155" i="2"/>
  <c r="T155" i="2"/>
  <c r="U140" i="2"/>
  <c r="T140" i="2"/>
  <c r="T127" i="2"/>
  <c r="U127" i="2"/>
  <c r="T121" i="2"/>
  <c r="U121" i="2"/>
  <c r="U115" i="2"/>
  <c r="T115" i="2"/>
  <c r="T73" i="2"/>
  <c r="U73" i="2"/>
  <c r="T67" i="2"/>
  <c r="U67" i="2"/>
  <c r="T55" i="2"/>
  <c r="U55" i="2"/>
  <c r="T49" i="2"/>
  <c r="U49" i="2"/>
  <c r="T43" i="2"/>
  <c r="U43" i="2"/>
  <c r="T37" i="2"/>
  <c r="U37" i="2"/>
  <c r="U27" i="2"/>
  <c r="T27" i="2"/>
  <c r="U21" i="2"/>
  <c r="T21" i="2"/>
  <c r="U15" i="2"/>
  <c r="T15" i="2"/>
  <c r="U173" i="2"/>
  <c r="T173" i="2"/>
  <c r="U129" i="2"/>
  <c r="T129" i="2"/>
  <c r="U75" i="2"/>
  <c r="T75" i="2"/>
  <c r="U51" i="2"/>
  <c r="T51" i="2"/>
  <c r="U33" i="2"/>
  <c r="T33" i="2"/>
  <c r="U11" i="2"/>
  <c r="T11" i="2"/>
  <c r="U156" i="2"/>
  <c r="T156" i="2"/>
  <c r="T122" i="2"/>
  <c r="U122" i="2"/>
  <c r="T68" i="2"/>
  <c r="U68" i="2"/>
  <c r="U176" i="2"/>
  <c r="T176" i="2"/>
  <c r="T160" i="2"/>
  <c r="U160" i="2"/>
  <c r="T154" i="2"/>
  <c r="U154" i="2"/>
  <c r="U139" i="2"/>
  <c r="T139" i="2"/>
  <c r="T126" i="2"/>
  <c r="U126" i="2"/>
  <c r="U120" i="2"/>
  <c r="T120" i="2"/>
  <c r="T114" i="2"/>
  <c r="U114" i="2"/>
  <c r="T72" i="2"/>
  <c r="U72" i="2"/>
  <c r="T66" i="2"/>
  <c r="U66" i="2"/>
  <c r="T54" i="2"/>
  <c r="U54" i="2"/>
  <c r="T48" i="2"/>
  <c r="U48" i="2"/>
  <c r="T42" i="2"/>
  <c r="U42" i="2"/>
  <c r="T36" i="2"/>
  <c r="U36" i="2"/>
  <c r="U26" i="2"/>
  <c r="T26" i="2"/>
  <c r="U20" i="2"/>
  <c r="T20" i="2"/>
  <c r="U14" i="2"/>
  <c r="T14" i="2"/>
  <c r="T151" i="2"/>
  <c r="U151" i="2"/>
  <c r="U69" i="2"/>
  <c r="T69" i="2"/>
  <c r="U45" i="2"/>
  <c r="T45" i="2"/>
  <c r="U23" i="2"/>
  <c r="T23" i="2"/>
  <c r="U175" i="2"/>
  <c r="T175" i="2"/>
  <c r="U159" i="2"/>
  <c r="T159" i="2"/>
  <c r="U153" i="2"/>
  <c r="T153" i="2"/>
  <c r="U137" i="2"/>
  <c r="T137" i="2"/>
  <c r="U125" i="2"/>
  <c r="T125" i="2"/>
  <c r="U119" i="2"/>
  <c r="T119" i="2"/>
  <c r="U113" i="2"/>
  <c r="T113" i="2"/>
  <c r="U71" i="2"/>
  <c r="T71" i="2"/>
  <c r="U65" i="2"/>
  <c r="T65" i="2"/>
  <c r="U53" i="2"/>
  <c r="T53" i="2"/>
  <c r="U47" i="2"/>
  <c r="T47" i="2"/>
  <c r="U41" i="2"/>
  <c r="T41" i="2"/>
  <c r="U35" i="2"/>
  <c r="T35" i="2"/>
  <c r="T25" i="2"/>
  <c r="U25" i="2"/>
  <c r="T19" i="2"/>
  <c r="U19" i="2"/>
  <c r="T174" i="2"/>
  <c r="U174" i="2"/>
  <c r="U158" i="2"/>
  <c r="T158" i="2"/>
  <c r="U152" i="2"/>
  <c r="T152" i="2"/>
  <c r="T130" i="2"/>
  <c r="U130" i="2"/>
  <c r="T124" i="2"/>
  <c r="U124" i="2"/>
  <c r="T118" i="2"/>
  <c r="U118" i="2"/>
  <c r="T112" i="2"/>
  <c r="U112" i="2"/>
  <c r="T70" i="2"/>
  <c r="U70" i="2"/>
  <c r="T64" i="2"/>
  <c r="U64" i="2"/>
  <c r="T52" i="2"/>
  <c r="U52" i="2"/>
  <c r="T46" i="2"/>
  <c r="U46" i="2"/>
  <c r="T40" i="2"/>
  <c r="U40" i="2"/>
  <c r="T34" i="2"/>
  <c r="U34" i="2"/>
  <c r="T24" i="2"/>
  <c r="U24" i="2"/>
  <c r="T18" i="2"/>
  <c r="U18" i="2"/>
  <c r="AD4" i="24"/>
  <c r="AL5" i="24"/>
  <c r="AJ5" i="24"/>
  <c r="AD5" i="24"/>
  <c r="AL4" i="24"/>
  <c r="Q49" i="24"/>
  <c r="P49" i="24"/>
  <c r="R49" i="24"/>
  <c r="S49" i="24"/>
  <c r="O49" i="24"/>
  <c r="T49" i="24"/>
  <c r="AS13" i="24"/>
  <c r="L13" i="24" s="1"/>
  <c r="M24" i="25"/>
  <c r="L25" i="25"/>
  <c r="W183" i="22"/>
  <c r="V183" i="22"/>
  <c r="W180" i="22"/>
  <c r="V180" i="22"/>
  <c r="V179" i="22"/>
  <c r="N169" i="22"/>
  <c r="N144" i="22"/>
  <c r="N119" i="22"/>
  <c r="N111" i="22"/>
  <c r="N110" i="22"/>
  <c r="N109" i="22"/>
  <c r="N71" i="22"/>
  <c r="N70" i="22"/>
  <c r="N69" i="22"/>
  <c r="N68" i="22"/>
  <c r="N46" i="22"/>
  <c r="O35" i="22"/>
  <c r="N14" i="22"/>
  <c r="AQ4" i="24" l="1"/>
  <c r="AQ5" i="24"/>
  <c r="R41" i="24"/>
  <c r="AS25" i="24"/>
  <c r="AS17" i="24"/>
  <c r="L17" i="24" s="1"/>
  <c r="AS6" i="24"/>
  <c r="L6" i="24" s="1"/>
  <c r="AS11" i="24"/>
  <c r="L11" i="24" s="1"/>
  <c r="AS14" i="24"/>
  <c r="L14" i="24" s="1"/>
  <c r="L26" i="25"/>
  <c r="M25" i="25"/>
  <c r="L25" i="24" l="1"/>
  <c r="S40" i="24" s="1"/>
  <c r="T41" i="24"/>
  <c r="S41" i="24"/>
  <c r="Q41" i="24"/>
  <c r="P41" i="24"/>
  <c r="O41" i="24"/>
  <c r="S32" i="24"/>
  <c r="R32" i="24"/>
  <c r="S29" i="24"/>
  <c r="T29" i="24"/>
  <c r="P29" i="24"/>
  <c r="Q29" i="24"/>
  <c r="R29" i="24"/>
  <c r="R28" i="24"/>
  <c r="S28" i="24"/>
  <c r="T28" i="24"/>
  <c r="P28" i="24"/>
  <c r="Q28" i="24"/>
  <c r="O29" i="24"/>
  <c r="O28" i="24"/>
  <c r="O26" i="24"/>
  <c r="AS12" i="24"/>
  <c r="L12" i="24" s="1"/>
  <c r="AS10" i="24"/>
  <c r="L10" i="24" s="1"/>
  <c r="AS7" i="24"/>
  <c r="L7" i="24" s="1"/>
  <c r="AS5" i="24"/>
  <c r="L5" i="24" s="1"/>
  <c r="AS8" i="24"/>
  <c r="L8" i="24" s="1"/>
  <c r="AS16" i="24"/>
  <c r="L16" i="24" s="1"/>
  <c r="L27" i="25"/>
  <c r="M27" i="25" s="1"/>
  <c r="M26" i="25"/>
  <c r="P40" i="24" l="1"/>
  <c r="O40" i="24"/>
  <c r="T40" i="24"/>
  <c r="R40" i="24"/>
  <c r="Q40" i="24"/>
  <c r="Q32" i="24"/>
  <c r="AS254" i="24"/>
  <c r="AS253" i="24"/>
  <c r="O32" i="24"/>
  <c r="P32" i="24"/>
  <c r="T32" i="24"/>
  <c r="P31" i="24"/>
  <c r="Q31" i="24"/>
  <c r="R31" i="24"/>
  <c r="S31" i="24"/>
  <c r="T31" i="24"/>
  <c r="Q21" i="24"/>
  <c r="R21" i="24"/>
  <c r="S21" i="24"/>
  <c r="T21" i="24"/>
  <c r="P21" i="24"/>
  <c r="P26" i="24"/>
  <c r="Q26" i="24"/>
  <c r="R26" i="24"/>
  <c r="S26" i="24"/>
  <c r="T26" i="24"/>
  <c r="O31" i="24"/>
  <c r="O21" i="24"/>
  <c r="A4" i="2"/>
  <c r="M1" i="2"/>
  <c r="E1" i="2"/>
  <c r="F1" i="2"/>
  <c r="G1" i="2"/>
  <c r="L253" i="24" l="1"/>
  <c r="P268" i="24" s="1"/>
  <c r="T25" i="24"/>
  <c r="P25" i="24"/>
  <c r="Q25" i="24"/>
  <c r="R25" i="24"/>
  <c r="S25" i="24"/>
  <c r="S23" i="24"/>
  <c r="T23" i="24"/>
  <c r="R23" i="24"/>
  <c r="P23" i="24"/>
  <c r="Q23" i="24"/>
  <c r="P20" i="24"/>
  <c r="Q20" i="24"/>
  <c r="T20" i="24"/>
  <c r="R20" i="24"/>
  <c r="S20" i="24"/>
  <c r="Q27" i="24"/>
  <c r="R27" i="24"/>
  <c r="S27" i="24"/>
  <c r="T27" i="24"/>
  <c r="P27" i="24"/>
  <c r="R22" i="24"/>
  <c r="P22" i="24"/>
  <c r="S22" i="24"/>
  <c r="Q22" i="24"/>
  <c r="T22" i="24"/>
  <c r="O27" i="24"/>
  <c r="O25" i="24"/>
  <c r="O20" i="24"/>
  <c r="O22" i="24"/>
  <c r="O23" i="24"/>
  <c r="L1" i="2"/>
  <c r="D1" i="2"/>
  <c r="S268" i="24" l="1"/>
  <c r="O268" i="24"/>
  <c r="R268" i="24"/>
  <c r="T268" i="24"/>
  <c r="Q268" i="24"/>
  <c r="K26" i="25"/>
  <c r="K25" i="25" s="1"/>
  <c r="K24" i="25" s="1"/>
  <c r="K23" i="25" s="1"/>
  <c r="K22" i="25" s="1"/>
  <c r="K21" i="25" s="1"/>
  <c r="K20" i="25" s="1"/>
  <c r="AS15" i="24"/>
  <c r="L15" i="24" s="1"/>
  <c r="AS18" i="24" l="1"/>
  <c r="O37" i="24"/>
  <c r="AS21" i="24"/>
  <c r="L21" i="24" s="1"/>
  <c r="AS20" i="24"/>
  <c r="L20" i="24" s="1"/>
  <c r="AS19" i="24"/>
  <c r="L19" i="24" s="1"/>
  <c r="T30" i="24"/>
  <c r="P30" i="24"/>
  <c r="Q30" i="24"/>
  <c r="R30" i="24"/>
  <c r="S30" i="24"/>
  <c r="O30" i="24"/>
  <c r="AS4" i="24"/>
  <c r="L4" i="24" s="1"/>
  <c r="AS9" i="24"/>
  <c r="L9" i="24" s="1"/>
  <c r="L18" i="24" l="1"/>
  <c r="R33" i="24" s="1"/>
  <c r="S37" i="24"/>
  <c r="R37" i="24"/>
  <c r="P37" i="24"/>
  <c r="Q37" i="24"/>
  <c r="R34" i="24"/>
  <c r="O34" i="24"/>
  <c r="S34" i="24"/>
  <c r="P34" i="24"/>
  <c r="T34" i="24"/>
  <c r="Q34" i="24"/>
  <c r="R35" i="24"/>
  <c r="T35" i="24"/>
  <c r="Q35" i="24"/>
  <c r="S35" i="24"/>
  <c r="P35" i="24"/>
  <c r="O35" i="24"/>
  <c r="Q36" i="24"/>
  <c r="S36" i="24"/>
  <c r="T36" i="24"/>
  <c r="P36" i="24"/>
  <c r="R36" i="24"/>
  <c r="O36" i="24"/>
  <c r="T37" i="24"/>
  <c r="T19" i="24"/>
  <c r="T33" i="24" l="1"/>
  <c r="O33" i="24"/>
  <c r="S33" i="24"/>
  <c r="Q33" i="24"/>
  <c r="P33" i="24"/>
  <c r="T24" i="24"/>
  <c r="P24" i="24"/>
  <c r="R24" i="24"/>
  <c r="Q24" i="24"/>
  <c r="S24" i="24"/>
  <c r="R19" i="24"/>
  <c r="S19" i="24"/>
  <c r="P19" i="24"/>
  <c r="Q19" i="24"/>
  <c r="O24" i="24"/>
  <c r="O11" i="24"/>
  <c r="L2" i="24" s="1"/>
  <c r="O19" i="24"/>
  <c r="P17" i="24" l="1"/>
  <c r="T17" i="24"/>
  <c r="S17" i="24"/>
  <c r="O17" i="24"/>
  <c r="R17" i="24"/>
  <c r="Q17" i="24"/>
  <c r="O16" i="24"/>
  <c r="Q16" i="24"/>
  <c r="P16" i="24"/>
  <c r="S16" i="24"/>
  <c r="R16" i="24"/>
  <c r="T16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<sst xmlns="http://schemas.openxmlformats.org/spreadsheetml/2006/main" count="1756" uniqueCount="924">
  <si>
    <t>HIDE</t>
  </si>
  <si>
    <r>
      <rPr>
        <b/>
        <sz val="10"/>
        <color rgb="FFFF0000"/>
        <rFont val="Arial"/>
        <family val="2"/>
      </rPr>
      <t>Applicants:</t>
    </r>
    <r>
      <rPr>
        <b/>
        <sz val="10"/>
        <rFont val="Arial"/>
        <family val="2"/>
      </rPr>
      <t xml:space="preserve"> Only blue fields are editable. Complete address, boro/block/lot and all applicable fields in columns D and E.</t>
    </r>
  </si>
  <si>
    <t>Address:</t>
  </si>
  <si>
    <t xml:space="preserve">BBL: </t>
  </si>
  <si>
    <t>Docket (for Office Use):</t>
  </si>
  <si>
    <t>Claimed Costs</t>
  </si>
  <si>
    <t>Item#</t>
  </si>
  <si>
    <t>Item</t>
  </si>
  <si>
    <t xml:space="preserve">Qty. </t>
  </si>
  <si>
    <t>Cl-Qty</t>
  </si>
  <si>
    <t>Cl-Cost</t>
  </si>
  <si>
    <t>I-QtyAdj</t>
  </si>
  <si>
    <t>InCPct</t>
  </si>
  <si>
    <t>P-Qty-Adj</t>
  </si>
  <si>
    <t>Final QTY</t>
  </si>
  <si>
    <t>CRC Granted</t>
  </si>
  <si>
    <t>Comments</t>
  </si>
  <si>
    <t>CRC Names for Summary</t>
  </si>
  <si>
    <t>If Granted</t>
  </si>
  <si>
    <t>Conc. For Summary</t>
  </si>
  <si>
    <t>1011</t>
  </si>
  <si>
    <t>Asbestos - other*</t>
  </si>
  <si>
    <t xml:space="preserve">Sq. Ft. </t>
  </si>
  <si>
    <t>Asbestos - other</t>
  </si>
  <si>
    <t>1012</t>
  </si>
  <si>
    <t>Asbestos - piping*</t>
  </si>
  <si>
    <t xml:space="preserve">Lin. Ft. </t>
  </si>
  <si>
    <t>Asbestos - piping</t>
  </si>
  <si>
    <t>1020</t>
  </si>
  <si>
    <t>Deleading of Lead Paint (see Deleading Schedule)*</t>
  </si>
  <si>
    <t>Deleading [will create sub-schedule if needed]</t>
  </si>
  <si>
    <t>1030</t>
  </si>
  <si>
    <t>Chimney, masonry</t>
  </si>
  <si>
    <t>Floors</t>
  </si>
  <si>
    <t>Masonry Chimney</t>
  </si>
  <si>
    <t>1040</t>
  </si>
  <si>
    <t>General masonry (façade only)</t>
  </si>
  <si>
    <t xml:space="preserve">General masonry </t>
  </si>
  <si>
    <t>1050</t>
  </si>
  <si>
    <t>Cement wash or waterproofing</t>
  </si>
  <si>
    <t>Cement wash/waterproofing</t>
  </si>
  <si>
    <t>1060</t>
  </si>
  <si>
    <t xml:space="preserve">    Cellar Ceiling (fireproof board)</t>
  </si>
  <si>
    <t>Cellar Ceiling</t>
  </si>
  <si>
    <t>1080</t>
  </si>
  <si>
    <t>Replace Elevator with Gearless, complete (base unit, 4 stops)*</t>
  </si>
  <si>
    <t>Units</t>
  </si>
  <si>
    <t>Gearless Elevator up to 4 stops</t>
  </si>
  <si>
    <t>1090</t>
  </si>
  <si>
    <t>Replace elevator: additional allowance for each stop over 4 floors*</t>
  </si>
  <si>
    <t>Replace elevator-additional stops</t>
  </si>
  <si>
    <t>1100</t>
  </si>
  <si>
    <t xml:space="preserve">    Motor</t>
  </si>
  <si>
    <t>Elevator Motor</t>
  </si>
  <si>
    <t xml:space="preserve">  </t>
  </si>
  <si>
    <t>1110</t>
  </si>
  <si>
    <t xml:space="preserve">    Traction machine</t>
  </si>
  <si>
    <t>Elevator Traction machine</t>
  </si>
  <si>
    <t>1120</t>
  </si>
  <si>
    <t xml:space="preserve">    Two-speed/variable speed controller</t>
  </si>
  <si>
    <t>Elevator controller</t>
  </si>
  <si>
    <t>1130</t>
  </si>
  <si>
    <t xml:space="preserve">    Cables</t>
  </si>
  <si>
    <t xml:space="preserve">Floor </t>
  </si>
  <si>
    <t>Elevator Cables</t>
  </si>
  <si>
    <t>1140</t>
  </si>
  <si>
    <t xml:space="preserve">    Shaftway door</t>
  </si>
  <si>
    <t xml:space="preserve">   </t>
  </si>
  <si>
    <t>Elevator Shaftway Door</t>
  </si>
  <si>
    <t>1180</t>
  </si>
  <si>
    <t xml:space="preserve">    Floor call station</t>
  </si>
  <si>
    <t>Elevator Floor Call Station</t>
  </si>
  <si>
    <t>1200</t>
  </si>
  <si>
    <t xml:space="preserve">    Interlocks</t>
  </si>
  <si>
    <t>Elevator Interlocks</t>
  </si>
  <si>
    <t>1210</t>
  </si>
  <si>
    <t xml:space="preserve">    Door operator</t>
  </si>
  <si>
    <t>Elevator Door Operator</t>
  </si>
  <si>
    <t>1220</t>
  </si>
  <si>
    <t xml:space="preserve">    Car Reline cab</t>
  </si>
  <si>
    <t>Elevator Car Reline cab</t>
  </si>
  <si>
    <t>1230</t>
  </si>
  <si>
    <t>Interior Vertical Wheelchair Lift - 5' Height*</t>
  </si>
  <si>
    <t xml:space="preserve">Int. Wheelchair Lift - 5' </t>
  </si>
  <si>
    <t>1240</t>
  </si>
  <si>
    <t>Interior Vertical Wheelchair Lift  - 8' Height*</t>
  </si>
  <si>
    <t xml:space="preserve">Int. Wheelchair Lift - 8' </t>
  </si>
  <si>
    <t>1250</t>
  </si>
  <si>
    <t>External Vertical Wheelchair Lift - 5' Height*</t>
  </si>
  <si>
    <t xml:space="preserve">Ext. Wheelchair Lift - 5' </t>
  </si>
  <si>
    <t>1260</t>
  </si>
  <si>
    <t>Exterior Vertical Wheelchair Lift  - 8' Height*</t>
  </si>
  <si>
    <t xml:space="preserve">Ext. Wheelchair Lift - 8' </t>
  </si>
  <si>
    <t>1270</t>
  </si>
  <si>
    <t>Structural Slab*</t>
  </si>
  <si>
    <t xml:space="preserve">Cu. Yd. </t>
  </si>
  <si>
    <t>Structural Slab</t>
  </si>
  <si>
    <t>1280</t>
  </si>
  <si>
    <t>Floor joists (include sub floor)*</t>
  </si>
  <si>
    <t>Floor Joists</t>
  </si>
  <si>
    <t>1290</t>
  </si>
  <si>
    <t xml:space="preserve">Partition Gypsum/plaster </t>
  </si>
  <si>
    <t xml:space="preserve">Rooms </t>
  </si>
  <si>
    <t>1300</t>
  </si>
  <si>
    <t>Insulation: Exterior</t>
  </si>
  <si>
    <t>Exterior Insulation</t>
  </si>
  <si>
    <t>1310</t>
  </si>
  <si>
    <t>Insulation: Interior</t>
  </si>
  <si>
    <t>Interior Insulation</t>
  </si>
  <si>
    <t>1320</t>
  </si>
  <si>
    <t>Air Sealing: Repointing exterior masonry walls*</t>
  </si>
  <si>
    <t>Air Sealiing (Ext. Masonry)</t>
  </si>
  <si>
    <t>1330</t>
  </si>
  <si>
    <t>Air Sealing: PTACs or AC units*</t>
  </si>
  <si>
    <t>Air Sealing (PTAC or AC)</t>
  </si>
  <si>
    <t>1340</t>
  </si>
  <si>
    <t>Air Sealing:  Elevator/Stairwell Shaft Vent*</t>
  </si>
  <si>
    <t>Air Sealing (Elevator/Stairwell Shaft Vent)</t>
  </si>
  <si>
    <t>1350</t>
  </si>
  <si>
    <t>Roof (surface + exterior insulation)*</t>
  </si>
  <si>
    <t>Roof (Surface + Exterior Insulation)</t>
  </si>
  <si>
    <t>1360</t>
  </si>
  <si>
    <t>Roof (surface + roof plenum insulation)*</t>
  </si>
  <si>
    <t>Roof (Surface + Roof Plenum Insulation)</t>
  </si>
  <si>
    <t>1370</t>
  </si>
  <si>
    <t>Roof with walkway pads (include insulation)</t>
  </si>
  <si>
    <t>Roof w/ Walkway Pads (+ Insulation)</t>
  </si>
  <si>
    <t>1380</t>
  </si>
  <si>
    <t>Roof with roof deck (includes insulation)*</t>
  </si>
  <si>
    <t>Roof w/ Roof Deck (+ Insulation)</t>
  </si>
  <si>
    <t>1420</t>
  </si>
  <si>
    <t>Parapet including coping</t>
  </si>
  <si>
    <t>1430</t>
  </si>
  <si>
    <t>Coping only</t>
  </si>
  <si>
    <t>1440</t>
  </si>
  <si>
    <t>Railing, roof</t>
  </si>
  <si>
    <t>1450</t>
  </si>
  <si>
    <t>Window, low-e double glazed w/ screens</t>
  </si>
  <si>
    <t>Window w/ screens</t>
  </si>
  <si>
    <t>1460</t>
  </si>
  <si>
    <t>Window, low-e double glazed w/o screen</t>
  </si>
  <si>
    <t>Window w/o screen</t>
  </si>
  <si>
    <t>1470</t>
  </si>
  <si>
    <t>Window, insulating glass over 24sf</t>
  </si>
  <si>
    <t>1490</t>
  </si>
  <si>
    <t>Lintel replacement</t>
  </si>
  <si>
    <t>1500</t>
  </si>
  <si>
    <t>Window guards, childproof</t>
  </si>
  <si>
    <t>1510</t>
  </si>
  <si>
    <t>Skylight including screens</t>
  </si>
  <si>
    <t>1520</t>
  </si>
  <si>
    <t>Building Entry Doors: Replace existing doors and frames. Square Foot  Building Entry Doors: Replace existing doors and frames. Set</t>
  </si>
  <si>
    <t xml:space="preserve">Building Entry Doors (Sq. Ft.) </t>
  </si>
  <si>
    <t>1530</t>
  </si>
  <si>
    <t>Building Entry Doors (Set)</t>
  </si>
  <si>
    <t>2011</t>
  </si>
  <si>
    <t>Building Entry Doors: Weatherstripping &amp; Door Sweeps only</t>
  </si>
  <si>
    <t>Building Entry Doors (Weatherstripping &amp; Door Sweeps)</t>
  </si>
  <si>
    <t>2012</t>
  </si>
  <si>
    <t>Entry Doors: Hollow metal, fired rated</t>
  </si>
  <si>
    <t>Entry Doors (Hallow Metal)</t>
  </si>
  <si>
    <t>2020</t>
  </si>
  <si>
    <t>Entrance, stoops, steps/concrete</t>
  </si>
  <si>
    <t>Risers</t>
  </si>
  <si>
    <t>2030</t>
  </si>
  <si>
    <t>New Hot water heater with tank (input) - 0-600 (Claimed Cost)*</t>
  </si>
  <si>
    <t>New Hot Water Heater w/ Tank (0-600 MBH)</t>
  </si>
  <si>
    <t>New Hot water heater with tank (input) - 0-600 MBH (QTY)</t>
  </si>
  <si>
    <t>New Hot water heater with tank (input) - 0-600 MBH (MBH)</t>
  </si>
  <si>
    <t>MBH</t>
  </si>
  <si>
    <t>2060</t>
  </si>
  <si>
    <t>New Hot water heater with tank (input) - &gt;600 MBH (Claimed Cost) *</t>
  </si>
  <si>
    <t>New Hot Water Heater w/ Tank (&gt;600 MBH)</t>
  </si>
  <si>
    <t>New Hot water heater with tank (input) - &gt;600 MBH (QTY)</t>
  </si>
  <si>
    <t>New Hot water heater with tank (input) - &gt;600 MBH (MBH)</t>
  </si>
  <si>
    <t>2100</t>
  </si>
  <si>
    <t>Insulation, pipe (also heating)</t>
  </si>
  <si>
    <t>Insulation Pipe</t>
  </si>
  <si>
    <t>2110</t>
  </si>
  <si>
    <t xml:space="preserve">Variable Frequency Drives - 10 HP </t>
  </si>
  <si>
    <t>HP</t>
  </si>
  <si>
    <t xml:space="preserve">Variable Frequency Drives (10 HP) </t>
  </si>
  <si>
    <t>2120</t>
  </si>
  <si>
    <t xml:space="preserve">Variable Frequency Drives - 50 HP </t>
  </si>
  <si>
    <t xml:space="preserve">Variable Frequency Drives (50 HP) </t>
  </si>
  <si>
    <t>3021</t>
  </si>
  <si>
    <t xml:space="preserve">Variable Frequency Drives - 100 HP </t>
  </si>
  <si>
    <t xml:space="preserve">Variable Frequency Drives (100 HP) </t>
  </si>
  <si>
    <t>3022</t>
  </si>
  <si>
    <t xml:space="preserve">Variable Frequency Drives - 200 HP </t>
  </si>
  <si>
    <t xml:space="preserve">Variable Frequency Drives (200 HP) </t>
  </si>
  <si>
    <t>3031</t>
  </si>
  <si>
    <t>Water main, risers, branches*</t>
  </si>
  <si>
    <t>DU</t>
  </si>
  <si>
    <t>Water Main/Risers/Branches</t>
  </si>
  <si>
    <t>3032</t>
  </si>
  <si>
    <t>Waste and vent (complete)*</t>
  </si>
  <si>
    <t>Waste &amp; Vent</t>
  </si>
  <si>
    <t>3040</t>
  </si>
  <si>
    <t>Water service, street connection*</t>
  </si>
  <si>
    <t>Water Service Street Connection</t>
  </si>
  <si>
    <t>3070</t>
  </si>
  <si>
    <t>Sewer, street connection*</t>
  </si>
  <si>
    <t>Sewer Street Connection</t>
  </si>
  <si>
    <t>3080</t>
  </si>
  <si>
    <t>Gas, risers and connections*</t>
  </si>
  <si>
    <t>Gas Risers &amp; Connections</t>
  </si>
  <si>
    <t>3090</t>
  </si>
  <si>
    <t>Sprinklers heads (including piping)*</t>
  </si>
  <si>
    <t xml:space="preserve">Sprinklers Heads </t>
  </si>
  <si>
    <t>3100</t>
  </si>
  <si>
    <t>Standpipe*</t>
  </si>
  <si>
    <t>Standpipe</t>
  </si>
  <si>
    <t>3110</t>
  </si>
  <si>
    <t xml:space="preserve"> New right-sized boiler up to 2,000 (Claimed Cost)*</t>
  </si>
  <si>
    <t xml:space="preserve"> New right-sized boiler (&lt;2,000 MBH)</t>
  </si>
  <si>
    <t xml:space="preserve"> New right-sized boiler up to 2,000 MBH (QTY)</t>
  </si>
  <si>
    <t xml:space="preserve"> New right-sized boiler up to 2,000 MBH (MBH)</t>
  </si>
  <si>
    <t>3140</t>
  </si>
  <si>
    <t xml:space="preserve"> New right-sized boiler up to 4,000 MBH (Claimed Cost)*</t>
  </si>
  <si>
    <t xml:space="preserve"> New right-sized boiler (&lt;4,000 MBH)</t>
  </si>
  <si>
    <t xml:space="preserve"> New right-sized boiler up to 4,000 MBH (QTY)</t>
  </si>
  <si>
    <t xml:space="preserve"> New right-sized boiler up to 4,000 MBH (MBH)</t>
  </si>
  <si>
    <t>4011</t>
  </si>
  <si>
    <t xml:space="preserve"> New right-sized boiler up to 6,000 MBH (Claimed Cost)*</t>
  </si>
  <si>
    <t xml:space="preserve"> New right-sized boiler (&lt;6,000 MBH) </t>
  </si>
  <si>
    <t xml:space="preserve"> New right-sized boiler up to 6,000 MBH (QTY)</t>
  </si>
  <si>
    <t>New right-sized boiler up to 6,000 MBH (MBH)</t>
  </si>
  <si>
    <t>4021</t>
  </si>
  <si>
    <t xml:space="preserve"> New right-sized boiler  &gt; 6,000 MBH (Claimed Cost)*</t>
  </si>
  <si>
    <t xml:space="preserve"> New right-sized boiler  (&gt;6,000 MBH)</t>
  </si>
  <si>
    <t xml:space="preserve"> New right-sized boiler  &gt; 6,000 MBH (QTY)</t>
  </si>
  <si>
    <t>New right-sized boiler  &gt; 6,000 MBH (MBH)</t>
  </si>
  <si>
    <t>4031</t>
  </si>
  <si>
    <t>New Boiler-burner up to 2,000 MBH (Claimed Cost)*</t>
  </si>
  <si>
    <t>New Boiler-burner (&lt;2,000 MBH)</t>
  </si>
  <si>
    <t>New Boiler-burner up to 2,000 MBH (QTY)</t>
  </si>
  <si>
    <t>New Boiler-burner up to 2,000 MBH (per MBH)</t>
  </si>
  <si>
    <t>4041</t>
  </si>
  <si>
    <t>New Boiler-burner up to 4,000 MBH (Claimed Cost)*</t>
  </si>
  <si>
    <t>New Boiler-burner (&lt;4,000 MBH)</t>
  </si>
  <si>
    <t>New Boiler-burner up to 4,000 MBH (QTY)</t>
  </si>
  <si>
    <t>New Boiler-burner up to 4,000 MBH (MBH)</t>
  </si>
  <si>
    <t>4051</t>
  </si>
  <si>
    <t>New Boiler-burner up to 6,000 MBH (Claimed Cost)*</t>
  </si>
  <si>
    <t>New Boiler-burner (&lt;6,000 MBH)</t>
  </si>
  <si>
    <t>New Boiler-burner up to 6,000 MBH (QTY)</t>
  </si>
  <si>
    <t>New Boiler-burner up to 6,000 MBH (MBH)</t>
  </si>
  <si>
    <t>4061</t>
  </si>
  <si>
    <t>New Boiler-burner   &gt; 6,000 MBH (Claimed Cost)*</t>
  </si>
  <si>
    <t>New Boiler-burner (&gt;6,000 MBH)</t>
  </si>
  <si>
    <t>New Boiler-burner   &gt; 6,000 MBH (QTY)</t>
  </si>
  <si>
    <t>New Boiler-burner  &gt; 6,000 MBH (MBH)</t>
  </si>
  <si>
    <t>4071</t>
  </si>
  <si>
    <t xml:space="preserve"> New Burner up to 2,000 MBH (1800 mbh) (Claimed Cost)*</t>
  </si>
  <si>
    <t xml:space="preserve"> New Burner (&lt;2,000 MBH)</t>
  </si>
  <si>
    <t xml:space="preserve"> New Burner up to 2,000 MBH (1800 mbh) (QTY)</t>
  </si>
  <si>
    <t xml:space="preserve"> New Burner up to 2,000 MBH (MBH)</t>
  </si>
  <si>
    <t>4081</t>
  </si>
  <si>
    <t xml:space="preserve"> New Burner up to 4,000 MBH (3000 mbh) (Claimed Cost)*</t>
  </si>
  <si>
    <t xml:space="preserve"> New Burner (&lt;4,000 MBH)</t>
  </si>
  <si>
    <t xml:space="preserve"> New Burner up to 4,000 MBH (3000 mbh) (QTY)</t>
  </si>
  <si>
    <t xml:space="preserve"> New Burner up to 4,000 MBH (MBH)</t>
  </si>
  <si>
    <t>4091</t>
  </si>
  <si>
    <t>New Burner up to 6,000 MBH (4100 mbh) (Claimed Cost)*</t>
  </si>
  <si>
    <t>New Burner (&lt;6,000 MBH)</t>
  </si>
  <si>
    <t>New Burner up to 6,000 MBH (4100 mbh) (QTY)</t>
  </si>
  <si>
    <t>New Burner up to 6,000 MBH (MBH)</t>
  </si>
  <si>
    <t>4101</t>
  </si>
  <si>
    <t>New Burner  &gt; 6,000 MBH (Claimed Cost)*</t>
  </si>
  <si>
    <t>New Burner (&gt;6,000 MBH)</t>
  </si>
  <si>
    <t>New Burner  &gt; 6,000 MBH (QTY)</t>
  </si>
  <si>
    <t xml:space="preserve"> New Burner &gt; 6,000 MBH (MBH)</t>
  </si>
  <si>
    <t>4111</t>
  </si>
  <si>
    <t>Linkageless burner modulation (any size)</t>
  </si>
  <si>
    <t>Controls</t>
  </si>
  <si>
    <t>Linkageless burner modulation</t>
  </si>
  <si>
    <t>4112</t>
  </si>
  <si>
    <t>O2 Trim add-on to linkageless burner modulation (boilers over 350 HP)</t>
  </si>
  <si>
    <t xml:space="preserve">O2 Trim add-on </t>
  </si>
  <si>
    <t>4121</t>
  </si>
  <si>
    <t>VFD for burner motor (boilers over 50 HP or burners over 350 HP)*</t>
  </si>
  <si>
    <t xml:space="preserve">VFD for burner motor </t>
  </si>
  <si>
    <t>4122</t>
  </si>
  <si>
    <t>TRVs w/ air vent (1 pipe systems)</t>
  </si>
  <si>
    <t xml:space="preserve">TRVs w/ air vent </t>
  </si>
  <si>
    <t>4130</t>
  </si>
  <si>
    <t>TRVs w/ orifice plates (2 pipe system)</t>
  </si>
  <si>
    <t xml:space="preserve">TRVs w/ orifice plates </t>
  </si>
  <si>
    <t>4140</t>
  </si>
  <si>
    <t>TRVs for hydronic system</t>
  </si>
  <si>
    <t>4150</t>
  </si>
  <si>
    <t>Master Vents - top of riser</t>
  </si>
  <si>
    <t>4161</t>
  </si>
  <si>
    <t>Master Vents- bottom of vent</t>
  </si>
  <si>
    <t>4162</t>
  </si>
  <si>
    <t>Master Vents: horizontal branches</t>
  </si>
  <si>
    <t>4171</t>
  </si>
  <si>
    <t>Steam control valves only</t>
  </si>
  <si>
    <t>4172</t>
  </si>
  <si>
    <t>Steam Traps (in-basement traps only)</t>
  </si>
  <si>
    <t xml:space="preserve">Steam Traps </t>
  </si>
  <si>
    <t>4180</t>
  </si>
  <si>
    <t>New convectors or radiators (17x36)</t>
  </si>
  <si>
    <t xml:space="preserve">New convectors or radiators </t>
  </si>
  <si>
    <t>5011</t>
  </si>
  <si>
    <t>Radiant Barriers behind radiators</t>
  </si>
  <si>
    <t>5012</t>
  </si>
  <si>
    <t>Install new EMS or BMS</t>
  </si>
  <si>
    <t>5020</t>
  </si>
  <si>
    <t>Upgrade EMS or BMS</t>
  </si>
  <si>
    <t>5031</t>
  </si>
  <si>
    <t>Boiler Controls Only</t>
  </si>
  <si>
    <t>5032</t>
  </si>
  <si>
    <t>Indoor Sensors</t>
  </si>
  <si>
    <t>5041</t>
  </si>
  <si>
    <t>Metal boiler stack*</t>
  </si>
  <si>
    <t>Metal boiler stack</t>
  </si>
  <si>
    <t>5042</t>
  </si>
  <si>
    <t>Piping, heat mains (campus)*</t>
  </si>
  <si>
    <t>Piping, heat mains (campus)</t>
  </si>
  <si>
    <t>5050</t>
  </si>
  <si>
    <t>Forced-Air Systems 36 MBH Cooling 75 MBH Heating (Claimed Cost)*</t>
  </si>
  <si>
    <t>Forced-Air Systems 36 MBH Cooling 75 MBH Heating</t>
  </si>
  <si>
    <t>Forced-Air Systems 36 MBH Cooling 75 MBH Heating (QTY)</t>
  </si>
  <si>
    <t>Forced-Air Systems 36 MBH Cooling 75 MBH Heating (Heating MBH)</t>
  </si>
  <si>
    <t>5070</t>
  </si>
  <si>
    <t>Forced-Air Systems 60 MBH Cooling 125 MBH Heating (Claimed Cost)*</t>
  </si>
  <si>
    <t>Forced-Air Systems 60 MBH Cooling 125 MBH Heating</t>
  </si>
  <si>
    <t>Forced-Air Systems 60 MBH Cooling 125 MBH Heating. (QTY)</t>
  </si>
  <si>
    <t>Forced-Air Systems 60 MBH Cooling 125 MBH Heating (Heating MBH)</t>
  </si>
  <si>
    <t>5100</t>
  </si>
  <si>
    <t>Forced-Air Systems Ductwork for hot air systems: (allowed as a substitute at 90% of the above)*</t>
  </si>
  <si>
    <t>Forced-Air Systems Ductwork for hot air systems</t>
  </si>
  <si>
    <t>5110</t>
  </si>
  <si>
    <t>Heat Pump ASHP 5 ton cooling/ 27 MBH heat (condensing unit qty)*</t>
  </si>
  <si>
    <t>Systems</t>
  </si>
  <si>
    <t>Heat Pump ASHP 5 ton cooling/ 27 MBH heat</t>
  </si>
  <si>
    <t>5120</t>
  </si>
  <si>
    <t>Heat Pump ASHP 10 ton cooling/ 27 MBH heat (condensing unit qty)*</t>
  </si>
  <si>
    <t xml:space="preserve">Heat Pump ASHP 10 ton cooling/ 27 MBH heat </t>
  </si>
  <si>
    <t>5130</t>
  </si>
  <si>
    <t>Heat Pump ASHP 15 ton cooling/ 27 MBH heat (condensing unit qty)*</t>
  </si>
  <si>
    <t xml:space="preserve">Heat Pump ASHP 15 ton cooling/ 27 MBH heat </t>
  </si>
  <si>
    <t>5140</t>
  </si>
  <si>
    <t>Heat Pump ASHP 25 ton cooling/ 27 MBH heat (condensing unit qty)*</t>
  </si>
  <si>
    <t xml:space="preserve">Heat Pump ASHP 25 ton cooling/ 27 MBH heat </t>
  </si>
  <si>
    <t>5150</t>
  </si>
  <si>
    <t>Air to Water Heat Pumps for Domestic Hot Water (HP/DHW) with Tank (must be Energy Star) - 50 MBH (Claimed Cost)*</t>
  </si>
  <si>
    <t>Air to Water Heat Pumps for Domestic Hot Water w/ Tank (50 MBH)</t>
  </si>
  <si>
    <t>Air to Water Heat Pumps for Domestic Hot Water (HP/DHW) with Tank (must be Energy Star) - 50 MBH (QTY)</t>
  </si>
  <si>
    <t>Air to Water Heat Pumps for Domestic Hot Water (HP/DHW) with Tank (must be Energy Star) - 50 MBH (MBH)</t>
  </si>
  <si>
    <t>5160</t>
  </si>
  <si>
    <t>Air to Water Heat Pumps for Domestic Hot Water (HP/DHW) with Tank (must be Energy Star) - 100-149 MBH (Claimed Cost)*</t>
  </si>
  <si>
    <t>Air to Water Heat Pumps for Domestic Hot Water w/ Tank (100-149 MBH)</t>
  </si>
  <si>
    <t>Air to Water Heat Pumps for Domestic Hot Water (HP/DHW) with Tank (must be Energy Star) - 100 MBH (QTY)</t>
  </si>
  <si>
    <t>Air to Water Heat Pumps for Domestic Hot Water (HP/DHW) with Tank (must be Energy Star) - 100 MBH (MBH)</t>
  </si>
  <si>
    <t>5170</t>
  </si>
  <si>
    <t>Air to Water Heat Pumps for Domestic Hot Water (HP/DHW) with Tank (must be Energy Star) - 150 MBH (Claimed Cost)*</t>
  </si>
  <si>
    <t>Air to Water Heat Pumps for Domestic Hot Water w/ Tank (150 MBH)</t>
  </si>
  <si>
    <t>Air to Water Heat Pumps for Domestic Hot Water (HP/DHW) with Tank (must be Energy Star) - 150 MBH (QTY)</t>
  </si>
  <si>
    <t>Air to Water Heat Pumps for Domestic Hot Water (HP/DHW) with Tank (must be Energy Star) - 150 MBH (MBH)</t>
  </si>
  <si>
    <t>7030</t>
  </si>
  <si>
    <t>Indoor Unit: ductless VRF type*</t>
  </si>
  <si>
    <t>Indoor Unit Ductless VRF</t>
  </si>
  <si>
    <t>7040</t>
  </si>
  <si>
    <t>Tubing, pads, accessories*</t>
  </si>
  <si>
    <t xml:space="preserve">Systems </t>
  </si>
  <si>
    <t>Tubing/Pads/Accessories</t>
  </si>
  <si>
    <t>7050</t>
  </si>
  <si>
    <t>ASHP cooling/ heating (system)*</t>
  </si>
  <si>
    <t>ASHP cooling/ heating</t>
  </si>
  <si>
    <t>7060</t>
  </si>
  <si>
    <t>Split Ductless System: 1 ton cooling + heating*</t>
  </si>
  <si>
    <t>Split Ductless System (1 ton)</t>
  </si>
  <si>
    <t>7070</t>
  </si>
  <si>
    <t>Split Ductless System:1.5 ton cooling + heating*</t>
  </si>
  <si>
    <t>Split Ductless System (1.5 ton)</t>
  </si>
  <si>
    <t>7080</t>
  </si>
  <si>
    <t>Seal &amp; balance kitchen &amp; toilet exhaust risers</t>
  </si>
  <si>
    <t xml:space="preserve">Floors </t>
  </si>
  <si>
    <t>Kitchen &amp; Toilet Exhaust Risers</t>
  </si>
  <si>
    <t>7090</t>
  </si>
  <si>
    <t>Upgrade ventilation fans 1650 CFM Roof Exhauster, V-belt</t>
  </si>
  <si>
    <t>Upgrade ventilation fans (1650 CFM)</t>
  </si>
  <si>
    <t>7100</t>
  </si>
  <si>
    <t>Upgrade ventilation fans 3500 CFM Roof Exhauster, V-belt</t>
  </si>
  <si>
    <t>Upgrade ventilation fans (3500 CFM)</t>
  </si>
  <si>
    <t>7110</t>
  </si>
  <si>
    <t>Upgrade ventilation fans 13760 CFM Roof Exhauster, V-belt</t>
  </si>
  <si>
    <t>Upgrade ventilation fans (13760 CFM)</t>
  </si>
  <si>
    <t>7120</t>
  </si>
  <si>
    <t>Energy-recovery Ventilators (ERVs)*</t>
  </si>
  <si>
    <t xml:space="preserve">Cu. Ft/Min. </t>
  </si>
  <si>
    <t>Energy-recovery Ventilators</t>
  </si>
  <si>
    <t>7140</t>
  </si>
  <si>
    <t>All new apartment wiring COST ONLY*</t>
  </si>
  <si>
    <t>All new apartment wiring</t>
  </si>
  <si>
    <t xml:space="preserve">   All new apartment wiring DU </t>
  </si>
  <si>
    <t xml:space="preserve">   All new apartment wiring Room </t>
  </si>
  <si>
    <t>7150</t>
  </si>
  <si>
    <t>Apartment wiring only, adequate (risers and meters separate)*</t>
  </si>
  <si>
    <t>Apartment wiring (adequate)</t>
  </si>
  <si>
    <t>7160</t>
  </si>
  <si>
    <t xml:space="preserve">Electric service equipment: with individual meter* </t>
  </si>
  <si>
    <t>Electric service equipment: w/ individual meter</t>
  </si>
  <si>
    <t>Electric service equipment: with individual meter (Entry)</t>
  </si>
  <si>
    <t>Electric service equipment: with individual meter(QTY)</t>
  </si>
  <si>
    <t>7170</t>
  </si>
  <si>
    <t xml:space="preserve">Electric service equipment: with master meter* </t>
  </si>
  <si>
    <t>Electric service equipment: w/ master meter</t>
  </si>
  <si>
    <t>Electric service equipment: with master meter (Entry)</t>
  </si>
  <si>
    <t>Electric service equipment: with master meter (QTY)</t>
  </si>
  <si>
    <t>7180</t>
  </si>
  <si>
    <t>Apartment Panel*</t>
  </si>
  <si>
    <t>Apartment Panel</t>
  </si>
  <si>
    <t>7190</t>
  </si>
  <si>
    <t>Risers with individual meter*</t>
  </si>
  <si>
    <t>Risers w/ individual meter</t>
  </si>
  <si>
    <t>7200</t>
  </si>
  <si>
    <t>Risers with master meter*</t>
  </si>
  <si>
    <t>Risers w/ master meter</t>
  </si>
  <si>
    <t>7210</t>
  </si>
  <si>
    <t>Outlet on new circuit*</t>
  </si>
  <si>
    <t>Outlet on new circuit</t>
  </si>
  <si>
    <t>7220</t>
  </si>
  <si>
    <t>Combination Smoke/carbon monoxide detector, hard wired*</t>
  </si>
  <si>
    <t>Combination Smoke/carbon monoxide detector</t>
  </si>
  <si>
    <t>7230</t>
  </si>
  <si>
    <t>Sub-Meter master-metered buildings (per DU)*</t>
  </si>
  <si>
    <t xml:space="preserve">Sub-Meter master-metered buildings </t>
  </si>
  <si>
    <t>7240</t>
  </si>
  <si>
    <t xml:space="preserve">Cogeneration Equipment*
</t>
  </si>
  <si>
    <t xml:space="preserve">kW </t>
  </si>
  <si>
    <t xml:space="preserve">Cogeneration Equipment
</t>
  </si>
  <si>
    <t xml:space="preserve">* Permit required </t>
  </si>
  <si>
    <t>Deleadin Claimed Costs</t>
  </si>
  <si>
    <t>FA-Grant</t>
  </si>
  <si>
    <t>Lead Risk Assesment</t>
  </si>
  <si>
    <t>Lead Inspection</t>
  </si>
  <si>
    <t>Baseboard ,Wood Molding (Remove and install)</t>
  </si>
  <si>
    <t>Ceiling , Lamination, Apartments</t>
  </si>
  <si>
    <t>Rooms</t>
  </si>
  <si>
    <t xml:space="preserve"> </t>
  </si>
  <si>
    <t>Ceiling , Lamination, Common Area</t>
  </si>
  <si>
    <t>Closet Shelf and Pole Set (Remove and Install )</t>
  </si>
  <si>
    <t>Convectors or Radiators, New</t>
  </si>
  <si>
    <t>Convectors or Radiators, Stripped</t>
  </si>
  <si>
    <t>Doors, Bi-fold Closet</t>
  </si>
  <si>
    <t>Doors, Hollow Metal</t>
  </si>
  <si>
    <t>Doors  Main Entrance and Lobby Set</t>
  </si>
  <si>
    <t>Set</t>
  </si>
  <si>
    <t>Doors, Sliding Closet Set</t>
  </si>
  <si>
    <t>Doors , Wood Swing</t>
  </si>
  <si>
    <t>Flooring, Finished Wood</t>
  </si>
  <si>
    <t>Flooring, Resilient w/Underlayment</t>
  </si>
  <si>
    <t>Kitchen Cabinets- Base and Counter 18</t>
  </si>
  <si>
    <t>Kitchen Cabinets 18</t>
  </si>
  <si>
    <t>Medicine Cabinets ( incl. mirror) 4sf</t>
  </si>
  <si>
    <t>Partitions, Common Area</t>
  </si>
  <si>
    <t>Partitions, Gypsum Board or Plaster</t>
  </si>
  <si>
    <t>Risers, Stripped</t>
  </si>
  <si>
    <t xml:space="preserve">Stairs, Steel, Stripped     </t>
  </si>
  <si>
    <t>Steps</t>
  </si>
  <si>
    <t>Window Sill  (Remove and install)</t>
  </si>
  <si>
    <t>Window, Insulating Glass</t>
  </si>
  <si>
    <t>Window, Insulating Glass Over 24 SF</t>
  </si>
  <si>
    <t>Deleading Targeted Area Scheduled Costs</t>
  </si>
  <si>
    <t>Abatement of Lead-Based Paint Hazards</t>
  </si>
  <si>
    <t>Date:</t>
  </si>
  <si>
    <t>Description</t>
  </si>
  <si>
    <t>Allowance 2/18/2014</t>
  </si>
  <si>
    <t>Allowance based on MEANS 2019</t>
  </si>
  <si>
    <t>Base on MEANS 2019 (Non-Target)</t>
  </si>
  <si>
    <t>Allowance based on MEANS 2022</t>
  </si>
  <si>
    <t>Base on MEANS 2022 (Non-Target)</t>
  </si>
  <si>
    <t>Allowance based on MEANS 2023</t>
  </si>
  <si>
    <t>Base on MEANS 2023 (Non-Target)</t>
  </si>
  <si>
    <t>Base on J51 NonPrevWageW-out O&amp;P&amp;GC</t>
  </si>
  <si>
    <t>Non-Targeted Area</t>
  </si>
  <si>
    <t>Targeted Area</t>
  </si>
  <si>
    <t>LBH</t>
  </si>
  <si>
    <t xml:space="preserve">DU </t>
  </si>
  <si>
    <t>Inflation factor 20%</t>
  </si>
  <si>
    <t>LF</t>
  </si>
  <si>
    <t>06 05 05.20 #3000                 06 22 13.15 #5295</t>
  </si>
  <si>
    <t>RM</t>
  </si>
  <si>
    <t>09 29 10.30 #2050            avr. 170SF</t>
  </si>
  <si>
    <t>SF</t>
  </si>
  <si>
    <t xml:space="preserve">09 29 10.30 #2050              </t>
  </si>
  <si>
    <t>EA</t>
  </si>
  <si>
    <t xml:space="preserve">10 57 23.19#1300  </t>
  </si>
  <si>
    <t xml:space="preserve">23 82 33.10 #2210             </t>
  </si>
  <si>
    <t xml:space="preserve">02 83 19.23 #0200             </t>
  </si>
  <si>
    <t>08 14 33.20 #6180</t>
  </si>
  <si>
    <t>#16. Hollow metal door</t>
  </si>
  <si>
    <t>#15-A. New Door Entrance (Single)</t>
  </si>
  <si>
    <t>06 11 10.40 #0130              08 14 33.10 #0070</t>
  </si>
  <si>
    <t>09 64 29.10 #0020, #7800 140sf room</t>
  </si>
  <si>
    <t>06 16 26.10 #0030              09 65 19.19 #7000            140SF room</t>
  </si>
  <si>
    <t xml:space="preserve">02 83 19.26 #1420           </t>
  </si>
  <si>
    <t xml:space="preserve">02 83 19.26 #1420  </t>
  </si>
  <si>
    <t xml:space="preserve">09 29 10.30 #2050           avr. 430SF            </t>
  </si>
  <si>
    <t xml:space="preserve">02 83 19.26 #0070             </t>
  </si>
  <si>
    <t>steps</t>
  </si>
  <si>
    <t>02 83 19.26 #2800               02 83 19.23 #0210</t>
  </si>
  <si>
    <t>06 05 05.10 #5872              06 11 10.32 #4052                   08 52 10.65 #1200</t>
  </si>
  <si>
    <t>(7 lf long)</t>
  </si>
  <si>
    <t>08 81 10.10 #0800</t>
  </si>
  <si>
    <t>(24 SF)</t>
  </si>
  <si>
    <t>Total DU's:</t>
  </si>
  <si>
    <t xml:space="preserve">% Qualifying Units: </t>
  </si>
  <si>
    <t>No.</t>
  </si>
  <si>
    <t>Qualifying Rental Unit (Yes/No)</t>
  </si>
  <si>
    <t>Building #</t>
  </si>
  <si>
    <t>Apt #</t>
  </si>
  <si>
    <t xml:space="preserve"> Legal Regulated Rent (Rentals only)</t>
  </si>
  <si>
    <t>Number of Bedrooms</t>
  </si>
  <si>
    <t>Tenant Pays Electricity</t>
  </si>
  <si>
    <t>Tenant Pays Gas (Stove Only)</t>
  </si>
  <si>
    <t xml:space="preserve">Tenant Pays Hot Water </t>
  </si>
  <si>
    <t>Tenant Pays Heat 
(See Instructions for Definitons)</t>
  </si>
  <si>
    <r>
      <rPr>
        <sz val="10"/>
        <color rgb="FF000000"/>
        <rFont val="Arial"/>
        <family val="2"/>
      </rPr>
      <t>Other Utilities Paid by Tenant (</t>
    </r>
    <r>
      <rPr>
        <b/>
        <sz val="10"/>
        <color rgb="FFFF0000"/>
        <rFont val="Arial"/>
        <family val="2"/>
      </rPr>
      <t>enter $ amount only</t>
    </r>
    <r>
      <rPr>
        <sz val="10"/>
        <color rgb="FF000000"/>
        <rFont val="Arial"/>
        <family val="2"/>
      </rPr>
      <t>)</t>
    </r>
  </si>
  <si>
    <t>80% AMI Test</t>
  </si>
  <si>
    <t>VLOOKUP FORMULA-&gt;</t>
  </si>
  <si>
    <t>Base rent for entry</t>
  </si>
  <si>
    <t>Elec w/ Elec Stove</t>
  </si>
  <si>
    <t>Elec w/ No Electric Stove</t>
  </si>
  <si>
    <t>Gas Stove</t>
  </si>
  <si>
    <t xml:space="preserve">Oil Hot Water </t>
  </si>
  <si>
    <t>Gas Hot Water</t>
  </si>
  <si>
    <t>Electric Hot Water-Other</t>
  </si>
  <si>
    <t>Electric Hot Water- Heat Pump</t>
  </si>
  <si>
    <t>Electric Heat ccASHP - split</t>
  </si>
  <si>
    <t>Electric Heat - Other</t>
  </si>
  <si>
    <t>Oil Heat</t>
  </si>
  <si>
    <t>Gas Heat</t>
  </si>
  <si>
    <t>Other Utilities Paid by Tenant($)</t>
  </si>
  <si>
    <t xml:space="preserve">Result-&gt; </t>
  </si>
  <si>
    <t>Base Rent - Utilities</t>
  </si>
  <si>
    <t xml:space="preserve">Legal Regulated Rent </t>
  </si>
  <si>
    <t xml:space="preserve">80% AMI Test </t>
  </si>
  <si>
    <t>Yes</t>
  </si>
  <si>
    <t>DATA-&gt;</t>
  </si>
  <si>
    <t>Bdrm</t>
  </si>
  <si>
    <t>Bdrm CT. Base Rent</t>
  </si>
  <si>
    <t>Yes w/ Elec.Stove</t>
  </si>
  <si>
    <t xml:space="preserve">Electric No Electric Stove </t>
  </si>
  <si>
    <t>Electric Hot Water - Other</t>
  </si>
  <si>
    <t>No</t>
  </si>
  <si>
    <t>Studio</t>
  </si>
  <si>
    <t xml:space="preserve">Qualifying Units by Unit Size </t>
  </si>
  <si>
    <t xml:space="preserve">AMI YR: </t>
  </si>
  <si>
    <t>1-bdrm</t>
  </si>
  <si>
    <t>2-bdrms</t>
  </si>
  <si>
    <t xml:space="preserve">3-bdrms </t>
  </si>
  <si>
    <t>4-bdrms</t>
  </si>
  <si>
    <t>5-bdrms</t>
  </si>
  <si>
    <t># of Units</t>
  </si>
  <si>
    <t xml:space="preserve">Avg. Rent </t>
  </si>
  <si>
    <t xml:space="preserve">Yes </t>
  </si>
  <si>
    <t>Oil</t>
  </si>
  <si>
    <t>Electric ccASHP - split</t>
  </si>
  <si>
    <t xml:space="preserve">Not paid by Tenant </t>
  </si>
  <si>
    <t>Gas</t>
  </si>
  <si>
    <t>Electric - Other</t>
  </si>
  <si>
    <t xml:space="preserve">Oil </t>
  </si>
  <si>
    <t>Electric - Heat Pump</t>
  </si>
  <si>
    <t xml:space="preserve">Gas </t>
  </si>
  <si>
    <t xml:space="preserve">Total AV: </t>
  </si>
  <si>
    <t>Avg AV/DU:</t>
  </si>
  <si>
    <t xml:space="preserve">1-Bdrm </t>
  </si>
  <si>
    <t xml:space="preserve">2-Bdrm </t>
  </si>
  <si>
    <t>3-Bdrm</t>
  </si>
  <si>
    <t>4-Bdrm</t>
  </si>
  <si>
    <t>5-Bdrm</t>
  </si>
  <si>
    <t>6+ Bdrm</t>
  </si>
  <si>
    <t>Total DU's</t>
  </si>
  <si>
    <t>2025 Area Median Income</t>
  </si>
  <si>
    <t> </t>
  </si>
  <si>
    <t>Electric with Electric Stove</t>
  </si>
  <si>
    <t xml:space="preserve">Gas Stove </t>
  </si>
  <si>
    <t>Total (Electric plus Gas)</t>
  </si>
  <si>
    <t>Oil Hot Water</t>
  </si>
  <si>
    <t xml:space="preserve"> Gas Heat  </t>
  </si>
  <si>
    <t>Electric Hot Water - Heat Pump</t>
  </si>
  <si>
    <t>Vlookup</t>
  </si>
  <si>
    <t>for a family of four</t>
  </si>
  <si>
    <t>studio</t>
  </si>
  <si>
    <t>2 BR FMR</t>
  </si>
  <si>
    <t>1 BR</t>
  </si>
  <si>
    <t>Rent Burden</t>
  </si>
  <si>
    <t>2 BR</t>
  </si>
  <si>
    <t>3 BR</t>
  </si>
  <si>
    <t>4 BR</t>
  </si>
  <si>
    <t>5 BR</t>
  </si>
  <si>
    <t>As of:</t>
  </si>
  <si>
    <t>***0.6 HH Factor for New Construction/Special Needs only applies to projects that comply with HPD’s new Design Guidelines***</t>
  </si>
  <si>
    <t>Fo rent roll validation</t>
  </si>
  <si>
    <t xml:space="preserve">Electricity </t>
  </si>
  <si>
    <t>Heat</t>
  </si>
  <si>
    <t>Hot Water</t>
  </si>
  <si>
    <t>of AMI</t>
  </si>
  <si>
    <t>Tenant Pays</t>
  </si>
  <si>
    <t>Income</t>
  </si>
  <si>
    <t>Yes w/ Elec. Stove</t>
  </si>
  <si>
    <t>No Utilities</t>
  </si>
  <si>
    <t>Electric (No Electric Stove)</t>
  </si>
  <si>
    <t>Gas Only</t>
  </si>
  <si>
    <t>Gas &amp; Electricity</t>
  </si>
  <si>
    <t>HH Size</t>
  </si>
  <si>
    <t>HH Factor</t>
  </si>
  <si>
    <t>Limit</t>
  </si>
  <si>
    <t>Yes, No Elec. Stove</t>
  </si>
  <si>
    <t>Not Paid by Tenant</t>
  </si>
  <si>
    <t>HH size</t>
  </si>
  <si>
    <t>HH factor</t>
  </si>
  <si>
    <t>Item #</t>
  </si>
  <si>
    <t>Current CRC Existing Item #</t>
  </si>
  <si>
    <t>New Item</t>
  </si>
  <si>
    <t>DHCR MCI</t>
  </si>
  <si>
    <t>LL97 PECM</t>
  </si>
  <si>
    <t>Enhancement</t>
  </si>
  <si>
    <t>Itemized Schedule</t>
  </si>
  <si>
    <t>Qty.</t>
  </si>
  <si>
    <t xml:space="preserve">Required Specification: NYS Draft Stretch Code* or other </t>
  </si>
  <si>
    <t>SPEC SOURCE</t>
  </si>
  <si>
    <r>
      <t xml:space="preserve">Document(s) Required:
</t>
    </r>
    <r>
      <rPr>
        <b/>
        <sz val="10"/>
        <color rgb="FFFF0000"/>
        <rFont val="Arial Narrow"/>
        <family val="2"/>
      </rPr>
      <t xml:space="preserve">
</t>
    </r>
  </si>
  <si>
    <t>Current J-51 Costs</t>
  </si>
  <si>
    <t xml:space="preserve">2019 COSTS* </t>
  </si>
  <si>
    <t>2022 COSTS</t>
  </si>
  <si>
    <t>% Increase for 2019</t>
  </si>
  <si>
    <t>Notes</t>
  </si>
  <si>
    <t xml:space="preserve">HCR Proposed Item </t>
  </si>
  <si>
    <t>HCR Proposed MCI Cost</t>
  </si>
  <si>
    <t>2023 COSTS</t>
  </si>
  <si>
    <t>2024 COSTS</t>
  </si>
  <si>
    <t>GENERAL CONSTRUCTION</t>
  </si>
  <si>
    <t>Asbestos &amp; Lead</t>
  </si>
  <si>
    <t>If asbestos containing material exceeding 10 sf or 25 lf is to be removed</t>
  </si>
  <si>
    <t xml:space="preserve">1) Submit ACP 7
2) Submit proof of payment receipt from DEP.
3) Submit a copy of the Asbestos Manifest.                           </t>
  </si>
  <si>
    <t>$1,600. + $11/lin. ft.</t>
  </si>
  <si>
    <t>1. asbestos
2. asbestos removal
3. asbestos abatement roof
4. asbestos abatement base flashings 
5. asbestos pipe insulation</t>
  </si>
  <si>
    <t>1. $31 PSF
2. $32 PLF/PSF
3. $20 PSF of asbestos roofing material abated
4. $32 PSF of asbestos roofing material abated
5. $20 PSF</t>
  </si>
  <si>
    <t>701-725</t>
  </si>
  <si>
    <t>Deleading of Lead Paint</t>
  </si>
  <si>
    <t>see table</t>
  </si>
  <si>
    <t xml:space="preserve">The work is done as a result of an order from the Department of Health. </t>
  </si>
  <si>
    <t>Masonry &amp; Coatings</t>
  </si>
  <si>
    <t>floor</t>
  </si>
  <si>
    <t>1) Submit PW1: Plan / Work Application for job types Alteration Type 1, Alteration Type 2, Alteration Type 3, Etc.</t>
  </si>
  <si>
    <t xml:space="preserve">1. New Chimney
2. Chimney liner steel	</t>
  </si>
  <si>
    <t>1. $128 PSF
2. $1275 PLF</t>
  </si>
  <si>
    <t>If relining existing chimney with metal liner get 50% of benefit.  New chimney gets full benefit.</t>
  </si>
  <si>
    <t>SQ. FT.</t>
  </si>
  <si>
    <t>Item added back 7.31.19</t>
  </si>
  <si>
    <t>1. Replace single Wythe Masonry brickwork $69 PSF 
2. Replace backup masonry brickwork/ $61 PSF       
3. Limestone Patching $190 Per Square Foot  
4. Limestone replacement $346 Per Square Foot      
5. Window sills/$97 PLF</t>
  </si>
  <si>
    <t>$69 PSF</t>
  </si>
  <si>
    <t>waterproofing /stucco</t>
  </si>
  <si>
    <t>$13 PSF/$32 PSF</t>
  </si>
  <si>
    <t>On HCR list the term waterproofing is vague. We do not allow for Silicon (clear) coatings.</t>
  </si>
  <si>
    <t>Walls &amp; Ceilings</t>
  </si>
  <si>
    <t>SQ.FT</t>
  </si>
  <si>
    <t>Elevator, Full Replacement</t>
  </si>
  <si>
    <r>
      <rPr>
        <b/>
        <u/>
        <sz val="10"/>
        <color theme="1"/>
        <rFont val="Arial Narrow"/>
        <family val="2"/>
      </rPr>
      <t>ELV1:</t>
    </r>
    <r>
      <rPr>
        <sz val="10"/>
        <color theme="1"/>
        <rFont val="Arial Narrow"/>
        <family val="2"/>
      </rPr>
      <t xml:space="preserve"> Elevator Application
This form is filed with the Elevator Unit to obtain permit for elevator and related devices. The work may include new installations, and or alteration/replacement.</t>
    </r>
  </si>
  <si>
    <t>Replace Elevator with Gearless, complete
(base unit, 4 stops)</t>
  </si>
  <si>
    <t>unit</t>
  </si>
  <si>
    <t>Gearless model only</t>
  </si>
  <si>
    <t>$45,000.00 + $7,000.00</t>
  </si>
  <si>
    <t>Elevator replacement</t>
  </si>
  <si>
    <t>$350000 per elevator replacement</t>
  </si>
  <si>
    <t>Replace elevator: additional allowance for each stop over 4 floors</t>
  </si>
  <si>
    <t>If part of Gearless Elevator Intallation</t>
  </si>
  <si>
    <t>Elevator modernization</t>
  </si>
  <si>
    <t>$170000 per elevator modernized</t>
  </si>
  <si>
    <t>Elevator, Partial</t>
  </si>
  <si>
    <t>motor</t>
  </si>
  <si>
    <t>units</t>
  </si>
  <si>
    <t>controller</t>
  </si>
  <si>
    <t>floors</t>
  </si>
  <si>
    <t>doors</t>
  </si>
  <si>
    <t>interlocks</t>
  </si>
  <si>
    <t>CU. YD.</t>
  </si>
  <si>
    <t>item added back; 2019 cost from BLDS - 8-27-19</t>
  </si>
  <si>
    <t>Floor joists (include sub floor)</t>
  </si>
  <si>
    <t>joists</t>
  </si>
  <si>
    <t>rooms</t>
  </si>
  <si>
    <t>BUILDING ENVELOPE</t>
  </si>
  <si>
    <t>Insulation</t>
  </si>
  <si>
    <t>❶</t>
  </si>
  <si>
    <t>R-15.2 continuous insulation</t>
  </si>
  <si>
    <t>NYStretch Code</t>
  </si>
  <si>
    <t xml:space="preserve">1) The applicant to submit an approved DOB copy of the TR8: Technical Report Statement of Responsibility for Energy Code Progress Inspections. This Technical Report shall be filed to demonstrate compliance with the progress inspections/tests required for the related job, in accordance with the New York CityEnergy Conservation Code, Rule §5000-01 and Rule §101-07. </t>
  </si>
  <si>
    <t>R-13 + R-14.5ci (metal frame) or R-19 + R-6 ci (wood frame)</t>
  </si>
  <si>
    <t>$0.50 (thermal only)</t>
  </si>
  <si>
    <t>Air Sealing</t>
  </si>
  <si>
    <t>Air Sealing: Repointing exterior masonry walls</t>
  </si>
  <si>
    <t>Masonry Pointing</t>
  </si>
  <si>
    <t>$15 PSF</t>
  </si>
  <si>
    <t>Air Sealing: PTACs or AC units</t>
  </si>
  <si>
    <t>Before photo showing existing condition</t>
  </si>
  <si>
    <t>Air Sealing:  Elevator/Stairwell Shaft Vent</t>
  </si>
  <si>
    <t>each</t>
  </si>
  <si>
    <t>Cover 2/3 of stairwell or elevator shaft vent with 2/3 annealed glass and 1/3 with louver</t>
  </si>
  <si>
    <t>MOS</t>
  </si>
  <si>
    <t>Confirmed that no permit is required. 
Installation would only require glass installation.</t>
  </si>
  <si>
    <t>Roof &amp; Parapet Work</t>
  </si>
  <si>
    <t>Roof (surface + exterior insulation)</t>
  </si>
  <si>
    <t>R-35 continuous insulation + Roofing:  Initial SRI of 0.7 + min. thermal emittance of 0.75/  or minimum SRI of 82 per ASTM E1980</t>
  </si>
  <si>
    <t>NYStretch Code (insulation) + Intro. 276 (roofing)</t>
  </si>
  <si>
    <t xml:space="preserve">$1.25 (roof only, no insulation)
</t>
  </si>
  <si>
    <t>1. New modified bitumen roof
2. Modified bitumen roof- Recovery
3. EPDM Roof
4. 3 Ply Asphalt roof
5. Full Ripoff roof
6. Flashing</t>
  </si>
  <si>
    <t>1. $56 Per Square Foot
2. $38 Per Square Foot
3. $27 Per Square Foot
4. $72 Per Square Foot
5. $13 Per Square Foot
6. $45 Per Square Foot</t>
  </si>
  <si>
    <t>Roof (surface + roof plenum insulation)</t>
  </si>
  <si>
    <r>
      <t xml:space="preserve">R-60 + Roofing: Initial SRI of 0.7 + min. thermal emittance of 0.75/  </t>
    </r>
    <r>
      <rPr>
        <b/>
        <sz val="10"/>
        <color theme="1"/>
        <rFont val="Arial Narrow"/>
        <family val="2"/>
      </rPr>
      <t>or</t>
    </r>
    <r>
      <rPr>
        <sz val="10"/>
        <color theme="1"/>
        <rFont val="Arial Narrow"/>
        <family val="2"/>
      </rPr>
      <t xml:space="preserve"> minimum SRI of 82 per ASTM E1980</t>
    </r>
  </si>
  <si>
    <t>MOS (insulation) + Intro. 276 (roofing)</t>
  </si>
  <si>
    <t>item added 8.19. 2020</t>
  </si>
  <si>
    <t>Roof with roof deck (includes insulation)</t>
  </si>
  <si>
    <t>If needed due to J-51 eligible roof work</t>
  </si>
  <si>
    <t>1. Double Wythe Parapet Reconstruction -Regular Brickwork with a Camelback Coping Stone
2. Triple Wythe Parapet Reconstruction-Regular Brickwork with a Camelback Coping Stone                 
3. Landmark parapet - as per landmark requirements</t>
  </si>
  <si>
    <t>1. $950 Per Linear Foot
2. $1,350 Per Linear Foot</t>
  </si>
  <si>
    <t xml:space="preserve">1. Remove tar &amp; stucco with wite lath @ parapet $8 PSF (this is part of parapet in J-51 which is all-inclusive).
</t>
  </si>
  <si>
    <t>1. Precast Concrete Coping Stones
2. Terracotta Copings camelbacks
3. Aluminum copings</t>
  </si>
  <si>
    <t>1. $144 Per Linear Foot
2. $104 Per Linear Foot
3. $93 Per Linear Foot</t>
  </si>
  <si>
    <t>Roof Railings- 42 inches</t>
  </si>
  <si>
    <t>$275 Per Linear Foot</t>
  </si>
  <si>
    <t>Windows, Skylights &amp; Doors</t>
  </si>
  <si>
    <t>U-0.27/ SHGC based on orientation &amp; Projection Factor Note this item was originally priced out with screens.</t>
  </si>
  <si>
    <t>Architect affidavit re: window's start and completion dates should also include the U value of the windows, doors &amp; skylights installed (as FN to Section 5-08 CRC).</t>
  </si>
  <si>
    <t>1. window
2. terrace door
3. landmark windows</t>
  </si>
  <si>
    <t>1. $650 per window
2. $2500 per door
3. as per landmark requirements</t>
  </si>
  <si>
    <t>U-0.27/ SHGC based on orientation &amp; Projection Factor</t>
  </si>
  <si>
    <t>added 8/11/2020</t>
  </si>
  <si>
    <t>1. Single lintel-loose laid
2. double lintel suspended includes waterproofing</t>
  </si>
  <si>
    <t>1. $167 PLF single
2. $207 PLF double</t>
  </si>
  <si>
    <t>Child guard</t>
  </si>
  <si>
    <t>$50 per guard</t>
  </si>
  <si>
    <t>U-0.48/ SHGC 0.38</t>
  </si>
  <si>
    <t>1. Skylights 3’ x 5’ with screens. Units are typically fabricated by a sheet metal manufacturer and glass installed.
2. Skylights 3’ x 5’ laminated insulated glass
3. Interior Screens</t>
  </si>
  <si>
    <t>1. $3,100 Each Skylight 3’ x 5’ with screens
2. $4,900 Per skylight 3’ x 5’ laminated
3. $425 Per Interior Screen refers to insect screens installed</t>
  </si>
  <si>
    <t>Building Entry Doors: Replace existing doors and frames. Include weatherstripping &amp; door sweeps</t>
  </si>
  <si>
    <t>U-0.77</t>
  </si>
  <si>
    <t>set</t>
  </si>
  <si>
    <t>Building Entry Door</t>
  </si>
  <si>
    <t>$4,010/Per Building Entry Door</t>
  </si>
  <si>
    <t>J-51 benefit is for a set which is the front building entrance door and vestibule/lobby door. If one of them is installed the benefit is given as a half set.</t>
  </si>
  <si>
    <t>1. Apt full entry full frame with hardware
2. Common area door and frame</t>
  </si>
  <si>
    <t>1. $3000/Per Apt entry - full frame with hardware
2. $2000/Each common area door and frame</t>
  </si>
  <si>
    <t>The current/new CRC the benefit is the same for both entry door and common area door - both requiring hardware and both are fire rated doors.</t>
  </si>
  <si>
    <t>risers</t>
  </si>
  <si>
    <t>PLUMBING &amp; HOT WATER HEATING</t>
  </si>
  <si>
    <t>New Hot water heater with tank (input)</t>
  </si>
  <si>
    <t xml:space="preserve">hot water heater </t>
  </si>
  <si>
    <t>$30,000 per hot water heater</t>
  </si>
  <si>
    <t xml:space="preserve"> 0-600 MBH</t>
  </si>
  <si>
    <r>
      <t xml:space="preserve">ENERGY STAR/ Min. 80% Efficiency if steam/ 85% if hydronic                               </t>
    </r>
    <r>
      <rPr>
        <b/>
        <sz val="10"/>
        <color rgb="FF00B050"/>
        <rFont val="Arial Narrow"/>
        <family val="2"/>
      </rPr>
      <t xml:space="preserve"> </t>
    </r>
    <r>
      <rPr>
        <sz val="10"/>
        <rFont val="Arial Narrow"/>
        <family val="2"/>
      </rPr>
      <t xml:space="preserve">                        </t>
    </r>
  </si>
  <si>
    <t xml:space="preserve">$2,700.00
</t>
  </si>
  <si>
    <t>0-600 MBH</t>
  </si>
  <si>
    <t>&lt;600 MBH</t>
  </si>
  <si>
    <t>&gt;600 MBH</t>
  </si>
  <si>
    <t xml:space="preserve">$10.90
</t>
  </si>
  <si>
    <t>Air to Water Heat Pumps for Domestic Hot Water (HP/DHW) with Tank (must be Energy Star)</t>
  </si>
  <si>
    <t xml:space="preserve"> &lt;20 MBH</t>
  </si>
  <si>
    <t xml:space="preserve">ENERGY STAR     2018 # 54                                               </t>
  </si>
  <si>
    <t xml:space="preserve">Will be covered in the PW1.
</t>
  </si>
  <si>
    <t xml:space="preserve"> &gt;20 MBH</t>
  </si>
  <si>
    <t>Fiberglass,1",1" IPS</t>
  </si>
  <si>
    <t>Pipe Insulation</t>
  </si>
  <si>
    <t>$8 PLF</t>
  </si>
  <si>
    <t>Variable Frequency Drives (VFDs)</t>
  </si>
  <si>
    <t>VFD 10 HP</t>
  </si>
  <si>
    <t>VFD 50 HP</t>
  </si>
  <si>
    <t>VFD 100 HP</t>
  </si>
  <si>
    <t>VFD 200 HP</t>
  </si>
  <si>
    <t>Piping:</t>
  </si>
  <si>
    <t>Water main, risers, branches</t>
  </si>
  <si>
    <t>overheads, risers, branches, &amp; restoration</t>
  </si>
  <si>
    <t>$15,250 per dwelling unit</t>
  </si>
  <si>
    <t>Waste and vent (complete)</t>
  </si>
  <si>
    <t>Water service, street connection</t>
  </si>
  <si>
    <t>LIN. FT.</t>
  </si>
  <si>
    <t>Sewer, street connection</t>
  </si>
  <si>
    <t>Gas, risers and connections</t>
  </si>
  <si>
    <t>With Master Meter</t>
  </si>
  <si>
    <t xml:space="preserve">1. Gas train for national grid/Con Ed with booster or without booster                                      
</t>
  </si>
  <si>
    <t>1. $52,100 with booster or $19,700 without booster</t>
  </si>
  <si>
    <t>J-51 current/new CRC, the benefit is the same whether going a concrete surface or wood. Partial installations breakdown overhead/main 34%, risers 33%, branches 33% of the full benefit. J-51 does not give benefit for booster (to increase pressure).</t>
  </si>
  <si>
    <t>Sprinklers heads (including piping):</t>
  </si>
  <si>
    <t>heads</t>
  </si>
  <si>
    <t>HEATING &amp; COOLING</t>
  </si>
  <si>
    <r>
      <t xml:space="preserve">New </t>
    </r>
    <r>
      <rPr>
        <b/>
        <sz val="10"/>
        <color rgb="FFFF0000"/>
        <rFont val="Arial Narrow"/>
        <family val="2"/>
      </rPr>
      <t>right-sized</t>
    </r>
    <r>
      <rPr>
        <b/>
        <sz val="10"/>
        <color theme="1"/>
        <rFont val="Arial Narrow"/>
        <family val="2"/>
      </rPr>
      <t xml:space="preserve"> boiler (steam or hydronic)
</t>
    </r>
  </si>
  <si>
    <t>Must include engineer's report for sizing?</t>
  </si>
  <si>
    <t>better benefit for right-sized?</t>
  </si>
  <si>
    <t>Boiler including all standard boiler components</t>
  </si>
  <si>
    <t>$172,600 per boiler</t>
  </si>
  <si>
    <t xml:space="preserve">   up to 2,000 MBH</t>
  </si>
  <si>
    <t>min. efficiency of 80% steam/ 85% hydronic</t>
  </si>
  <si>
    <t>1) Submit PW1: Plan / Work Application for job types Alteration Type 1, Alteration Type 2, Alteration Type 3, Etc.      (2) Provide proof of boiler sizing including methodology</t>
  </si>
  <si>
    <t xml:space="preserve">   up to 4,000 MBH</t>
  </si>
  <si>
    <t xml:space="preserve">   up to 6,000 MBH</t>
  </si>
  <si>
    <t xml:space="preserve">   &gt; 6,000 MBH</t>
  </si>
  <si>
    <t xml:space="preserve">New Boiler-burner (output): Natural Gas or #2 Oil
</t>
  </si>
  <si>
    <t>New Burner (output): Natural Gas</t>
  </si>
  <si>
    <t xml:space="preserve">Burner </t>
  </si>
  <si>
    <t>$57,650 per two boilers</t>
  </si>
  <si>
    <t xml:space="preserve">   up to 2,000 MBH (1800 mbh)</t>
  </si>
  <si>
    <t xml:space="preserve">   up to 4,000 MBH (3000 mbh)</t>
  </si>
  <si>
    <t xml:space="preserve">   up to 6,000 MBH (4100 mbh)</t>
  </si>
  <si>
    <t>Burner Upgrades</t>
  </si>
  <si>
    <t>control</t>
  </si>
  <si>
    <t>VFD for burner motor (boilers over 50 HP or burners over 350 HP)</t>
  </si>
  <si>
    <t>Distribution System Upgrades</t>
  </si>
  <si>
    <t>Require submission of calculations from installer/contractor to confirm that master vents were designed and installed correctly</t>
  </si>
  <si>
    <t>Controls &amp; Sensors</t>
  </si>
  <si>
    <t>per unit</t>
  </si>
  <si>
    <t>Includes room by room controls equally distributed throughout apartments</t>
  </si>
  <si>
    <t>Heat Timer control BMS</t>
  </si>
  <si>
    <t>$8000 per heat timer control</t>
  </si>
  <si>
    <r>
      <t>Item to remain</t>
    </r>
    <r>
      <rPr>
        <b/>
        <sz val="10"/>
        <color rgb="FF00B050"/>
        <rFont val="Arial Narrow"/>
        <family val="2"/>
      </rPr>
      <t xml:space="preserve"> </t>
    </r>
  </si>
  <si>
    <t>TR1: Technical Report Statement of Responsibility. This Technical Report shall be filled to demonstrate compliance for all inspections/tests required for related job, in accordance with the New York City Construction Code.</t>
  </si>
  <si>
    <t>Piping</t>
  </si>
  <si>
    <t>NEW item</t>
  </si>
  <si>
    <t>pipe insulation</t>
  </si>
  <si>
    <t>$23 PLF</t>
  </si>
  <si>
    <t xml:space="preserve">Forced-Air Systems (Heating &amp; Cooling). </t>
  </si>
  <si>
    <t>36 MBH Cooling 75 MBH Heating.</t>
  </si>
  <si>
    <t>System</t>
  </si>
  <si>
    <r>
      <t>Gas-fired furnaces with condensing units. Replacement.</t>
    </r>
    <r>
      <rPr>
        <b/>
        <sz val="10"/>
        <color rgb="FFFF0000"/>
        <rFont val="Arial Narrow"/>
        <family val="2"/>
      </rPr>
      <t xml:space="preserve"> </t>
    </r>
  </si>
  <si>
    <t>36 MBH Cooling 75 MBH Heating. (Based on Heating Capacity)</t>
  </si>
  <si>
    <t>60 MBH Cooling 125 MBH Heating.</t>
  </si>
  <si>
    <t>9.593.55</t>
  </si>
  <si>
    <t>60 MBH Cooling 125 MBH Heating. (Based on Heating Capacity)</t>
  </si>
  <si>
    <t>Ductwork for hot air systems: (allowed as a substitute at 90% of the above)</t>
  </si>
  <si>
    <t>Heat Pump: VRF System or Mini-Split</t>
  </si>
  <si>
    <t>ASHP 5 ton cooling/ 27 MBH heat (condensing unit only)</t>
  </si>
  <si>
    <t>system</t>
  </si>
  <si>
    <t xml:space="preserve">Northeast Energy Efficiency Partnerships (NEEP) standard for Cold Climate Air Source Heat Pumps: non-ducted systems: HSPF ≥10; for ducted systems: HSPF ≥9; COP @ 5 ≥ 1.75 (at max. capacity), SEER  ≥ 15
</t>
  </si>
  <si>
    <t>NEEP v3.0</t>
  </si>
  <si>
    <t>ASHP 10 ton cooling/ 27 MBH heat (condensing unit only)</t>
  </si>
  <si>
    <t>ASHP 15 ton cooling/ 27 MBH heat (condensing unit only)</t>
  </si>
  <si>
    <t>ASHP 25 ton cooling/ 27 MBH heat (condensing unit only)</t>
  </si>
  <si>
    <t>Indoor Unit: ductless VRF type</t>
  </si>
  <si>
    <t>Tubing, pads, accessories</t>
  </si>
  <si>
    <t>ASHP cooling/ heating (system)</t>
  </si>
  <si>
    <t>Split Ductless System: 1 ton cooling + heating</t>
  </si>
  <si>
    <t>Split Ductless System: 1.5 ton cooling + heating</t>
  </si>
  <si>
    <t>VENTILATION</t>
  </si>
  <si>
    <t>per floor</t>
  </si>
  <si>
    <t>Upgrade ventilation fans (to EC Motor type)</t>
  </si>
  <si>
    <t xml:space="preserve">     1650 CFM Roof Exhauster, V-belt</t>
  </si>
  <si>
    <t xml:space="preserve">     3500 CFM Roof Exhauster, V-belt</t>
  </si>
  <si>
    <t xml:space="preserve">     13760 CFM Roof Exhauster, V-belt</t>
  </si>
  <si>
    <t>Energy-recovery Ventilators (ERVs)</t>
  </si>
  <si>
    <t>CFM</t>
  </si>
  <si>
    <t>ELECTRIC</t>
  </si>
  <si>
    <t>Lighting Controls</t>
  </si>
  <si>
    <t>Apartment Wiring</t>
  </si>
  <si>
    <t>DU + ROOMS</t>
  </si>
  <si>
    <t>$400/DU + $420/room</t>
  </si>
  <si>
    <t>$522/DU+$419/room=$941</t>
  </si>
  <si>
    <t>$3322.10/DU+$976.80/room</t>
  </si>
  <si>
    <t>New adequate wiring incl. new service, new meters, risers, circuit breaker panels, duplex kitchen outlet &amp; restoration dedicated AC outlet does not include wall repair</t>
  </si>
  <si>
    <t>$6,450 Per Dwelling Unit</t>
  </si>
  <si>
    <t>$3547/DU+$1004/room=$4551.00</t>
  </si>
  <si>
    <t>$3575/DU+$1013/room=$4588.00</t>
  </si>
  <si>
    <t>Apartment wiring only, adequate
(risers and meters separate)</t>
  </si>
  <si>
    <t>Electric service equipment:</t>
  </si>
  <si>
    <t xml:space="preserve">    with individual meter </t>
  </si>
  <si>
    <t>Entry + DU</t>
  </si>
  <si>
    <t>$1,500/entry  + $160/DU</t>
  </si>
  <si>
    <t>$1,031/entry + $339/DU</t>
  </si>
  <si>
    <t>$3,947/entry + $3,496/DU</t>
  </si>
  <si>
    <t>$4457/entry + $3,993/DU</t>
  </si>
  <si>
    <t>$4646/entry + $4063/DU</t>
  </si>
  <si>
    <t xml:space="preserve">    with master meter</t>
  </si>
  <si>
    <t>$1,500/entry  + $110/DU</t>
  </si>
  <si>
    <t>$1,031/entry + $210/DU</t>
  </si>
  <si>
    <t>$3,947/entry + $2,421/DU</t>
  </si>
  <si>
    <t>$4457/entry + $2,912/DU</t>
  </si>
  <si>
    <t>$4646/entry + $2708/DU</t>
  </si>
  <si>
    <t>Apartment panel</t>
  </si>
  <si>
    <t>Risers:</t>
  </si>
  <si>
    <t>circuit</t>
  </si>
  <si>
    <t>1. Bathroom GFI outlet incl. restoration
2. add duplex outlet</t>
  </si>
  <si>
    <t>1. $430 Ground Fault Interrupter Unit: Each Bathroom GFI Outlet incl.
restoration
2. Each add, duplex outlet</t>
  </si>
  <si>
    <t>Combination Smoke/carbon monoxide detector, hard wired</t>
  </si>
  <si>
    <t>Smoke Detector/ Carbon monoxide detector Hard Wired with Battery Back Up</t>
  </si>
  <si>
    <t xml:space="preserve">$720 Each Smoke Detector/ Carbon monoxide detector
</t>
  </si>
  <si>
    <t>Sub-Meter master-metered buildings</t>
  </si>
  <si>
    <t>per DU</t>
  </si>
  <si>
    <t>TBD</t>
  </si>
  <si>
    <t>$3434.00 ($343.35/DU)</t>
  </si>
  <si>
    <t>$3667.00 ($366.73/DU)</t>
  </si>
  <si>
    <t>kilowatt</t>
  </si>
  <si>
    <t>(Must meet annual efficiency levels and air quality standard consistent with Con Edison’s standby rate pilot)</t>
  </si>
  <si>
    <t xml:space="preserve">1) Submit PW1: Plan / Work Application for job types Alteration Type 1, Alteration Type 2, Alteration Type 3, Etc.
2) Submit engineer's report </t>
  </si>
  <si>
    <t>Generator</t>
  </si>
  <si>
    <t>Gas Generator (Replacement only) 80 Kw</t>
  </si>
  <si>
    <t>Note the cost is based on replacement of the equipment only. Cost for a crane to hoist in place we are unable to determine due to different heights of buildings.</t>
  </si>
  <si>
    <t>Gas Generator (Replacement only) 100 Kw</t>
  </si>
  <si>
    <t>Gas Generator (Replacement only) 125 Kw</t>
  </si>
  <si>
    <t>Gas Generator (Replacement only) 185 Kw</t>
  </si>
  <si>
    <t>Diesel Generator (Replacement only)  250 Kw</t>
  </si>
  <si>
    <t>Diesel Generator (Replacement only) 300 Kw</t>
  </si>
  <si>
    <t>RENEWABLE ENERGY</t>
  </si>
  <si>
    <t>Solar PV: PV track system</t>
  </si>
  <si>
    <t>Proof roof is less than 5 years.  Installation must meet NYC regulatory codes.  Cost reduced by available solar incentives.</t>
  </si>
  <si>
    <t>less than or equal to 30 kW</t>
  </si>
  <si>
    <t>Delete</t>
  </si>
  <si>
    <t>greater than 30 kW</t>
  </si>
  <si>
    <t xml:space="preserve">                </t>
  </si>
  <si>
    <t xml:space="preserve">POTENTIAL ADDITIONS FOR 2022 PROPOSAL  </t>
  </si>
  <si>
    <t>Tank, water storage (roof tank)</t>
  </si>
  <si>
    <t>gallon</t>
  </si>
  <si>
    <t>Fire escapes</t>
  </si>
  <si>
    <t>flights</t>
  </si>
  <si>
    <t>Bulkhead (wall area)</t>
  </si>
  <si>
    <t>Storm doors</t>
  </si>
  <si>
    <t>VRF PTAC (6,800 btuh cooling , 6,300 heating)</t>
  </si>
  <si>
    <t xml:space="preserve">InCRC </t>
  </si>
  <si>
    <t>P-%-Adj</t>
  </si>
  <si>
    <t>P-CRC</t>
  </si>
  <si>
    <t>Not Used</t>
  </si>
  <si>
    <t xml:space="preserve">Not Used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</si>
</sst>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$&quot;#,##0"/>
    <numFmt numFmtId="166" formatCode="&quot;$&quot;#,##0.00"/>
    <numFmt numFmtId="167" formatCode="&quot;$&quot;#,##0.00;[Red]&quot;$&quot;#,##0.00"/>
    <numFmt numFmtId="168" formatCode="_(* #,##0_);_(* \(#,##0\);_(* &quot;-&quot;??_);_(@_)"/>
  </numFmts>
  <fonts count="6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b/>
      <sz val="10"/>
      <color rgb="FF00B050"/>
      <name val="Arial Narrow"/>
      <family val="2"/>
    </font>
    <font>
      <b/>
      <sz val="10"/>
      <name val="Arial Narrow"/>
      <family val="2"/>
    </font>
    <font>
      <b/>
      <sz val="10"/>
      <color rgb="FFFF0000"/>
      <name val="Arial Narrow"/>
      <family val="2"/>
    </font>
    <font>
      <b/>
      <sz val="10"/>
      <color rgb="FF000000"/>
      <name val="Arial Narrow"/>
      <family val="2"/>
    </font>
    <font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color theme="2" tint="-0.499984740745262"/>
      <name val="Arial Narrow"/>
      <family val="2"/>
    </font>
    <font>
      <sz val="10"/>
      <color rgb="FF00B050"/>
      <name val="Arial Narrow"/>
      <family val="2"/>
    </font>
    <font>
      <b/>
      <sz val="10"/>
      <color theme="2" tint="-0.499984740745262"/>
      <name val="Arial Narrow"/>
      <family val="2"/>
    </font>
    <font>
      <b/>
      <u/>
      <sz val="10"/>
      <color theme="1"/>
      <name val="Arial Narrow"/>
      <family val="2"/>
    </font>
    <font>
      <b/>
      <sz val="10"/>
      <color rgb="FF92D050"/>
      <name val="Arial Narrow"/>
      <family val="2"/>
    </font>
    <font>
      <sz val="10"/>
      <color rgb="FFFF0000"/>
      <name val="Arial Narrow"/>
      <family val="2"/>
    </font>
    <font>
      <b/>
      <sz val="10"/>
      <color theme="9"/>
      <name val="Arial Narrow"/>
      <family val="2"/>
    </font>
    <font>
      <sz val="10"/>
      <color theme="3" tint="-0.249977111117893"/>
      <name val="Arial Narrow"/>
      <family val="2"/>
    </font>
    <font>
      <b/>
      <sz val="10"/>
      <color rgb="FFFFC000"/>
      <name val="Arial Narrow"/>
      <family val="2"/>
    </font>
    <font>
      <b/>
      <sz val="10"/>
      <color theme="4" tint="-0.499984740745262"/>
      <name val="Arial Narrow"/>
      <family val="2"/>
    </font>
    <font>
      <sz val="10"/>
      <color rgb="FF92D050"/>
      <name val="Arial Narrow"/>
      <family val="2"/>
    </font>
    <font>
      <b/>
      <i/>
      <sz val="10"/>
      <name val="Arial Narrow"/>
      <family val="2"/>
    </font>
    <font>
      <b/>
      <sz val="10"/>
      <color theme="8" tint="0.39997558519241921"/>
      <name val="Arial Narrow"/>
      <family val="2"/>
    </font>
    <font>
      <b/>
      <sz val="10"/>
      <color rgb="FF7030A0"/>
      <name val="Arial Narrow"/>
      <family val="2"/>
    </font>
    <font>
      <i/>
      <sz val="10"/>
      <name val="Arial Narrow"/>
      <family val="2"/>
    </font>
    <font>
      <b/>
      <sz val="11"/>
      <name val="Calibri"/>
      <family val="2"/>
      <scheme val="minor"/>
    </font>
    <font>
      <b/>
      <u/>
      <sz val="12"/>
      <name val="Arial"/>
      <family val="2"/>
    </font>
    <font>
      <sz val="12"/>
      <name val="Arial"/>
      <family val="2"/>
    </font>
    <font>
      <b/>
      <sz val="12"/>
      <color rgb="FF1F497D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1"/>
      <color rgb="FF000000"/>
      <name val="Calibri"/>
      <family val="2"/>
      <charset val="1"/>
    </font>
    <font>
      <sz val="10"/>
      <color theme="1" tint="0.34998626667073579"/>
      <name val="Arial"/>
      <family val="2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2"/>
      <color theme="3"/>
      <name val="Arial"/>
      <family val="2"/>
    </font>
    <font>
      <b/>
      <sz val="10"/>
      <color rgb="FFFF9999"/>
      <name val="Arial"/>
      <family val="2"/>
    </font>
    <font>
      <b/>
      <sz val="9"/>
      <color theme="1"/>
      <name val="Arial"/>
      <family val="2"/>
    </font>
  </fonts>
  <fills count="5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rgb="FFFF99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C4D79B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D8E4BC"/>
        <bgColor rgb="FF000000"/>
      </patternFill>
    </fill>
    <fill>
      <patternFill patternType="solid">
        <fgColor rgb="FF76933C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</fills>
  <borders count="1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rgb="FF000000"/>
      </left>
      <right style="thin">
        <color indexed="8"/>
      </right>
      <top style="medium">
        <color rgb="FF000000"/>
      </top>
      <bottom style="thin">
        <color indexed="8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 style="dotted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8"/>
      </right>
      <top style="thin">
        <color indexed="8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dotted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8"/>
      </right>
      <top/>
      <bottom style="thin">
        <color indexed="8"/>
      </bottom>
      <diagonal/>
    </border>
    <border>
      <left style="dotted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dotted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8"/>
      </right>
      <top/>
      <bottom/>
      <diagonal/>
    </border>
    <border>
      <left style="dotted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indexed="8"/>
      </right>
      <top style="thin">
        <color indexed="8"/>
      </top>
      <bottom/>
      <diagonal/>
    </border>
    <border>
      <left style="dotted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8"/>
      </bottom>
      <diagonal/>
    </border>
    <border>
      <left style="medium">
        <color rgb="FF000000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rgb="FF000000"/>
      </left>
      <right style="thin">
        <color indexed="64"/>
      </right>
      <top/>
      <bottom style="thin">
        <color indexed="8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8"/>
      </top>
      <bottom/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48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7" borderId="24" applyNumberFormat="0" applyFont="0" applyAlignment="0" applyProtection="0"/>
    <xf numFmtId="0" fontId="6" fillId="0" borderId="0"/>
    <xf numFmtId="0" fontId="7" fillId="0" borderId="0"/>
    <xf numFmtId="0" fontId="5" fillId="0" borderId="0"/>
    <xf numFmtId="43" fontId="7" fillId="0" borderId="0" applyFont="0" applyFill="0" applyBorder="0" applyAlignment="0" applyProtection="0"/>
    <xf numFmtId="0" fontId="5" fillId="0" borderId="0"/>
    <xf numFmtId="0" fontId="20" fillId="14" borderId="0" applyNumberFormat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</cellStyleXfs>
  <cellXfs count="822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/>
    </xf>
    <xf numFmtId="0" fontId="13" fillId="0" borderId="0" xfId="0" applyFont="1"/>
    <xf numFmtId="164" fontId="11" fillId="0" borderId="0" xfId="0" applyNumberFormat="1" applyFont="1" applyAlignment="1">
      <alignment horizontal="right"/>
    </xf>
    <xf numFmtId="164" fontId="11" fillId="0" borderId="0" xfId="0" applyNumberFormat="1" applyFont="1"/>
    <xf numFmtId="0" fontId="8" fillId="0" borderId="0" xfId="0" applyFont="1" applyAlignment="1" applyProtection="1">
      <alignment vertical="center"/>
      <protection hidden="1"/>
    </xf>
    <xf numFmtId="164" fontId="11" fillId="2" borderId="7" xfId="0" applyNumberFormat="1" applyFont="1" applyFill="1" applyBorder="1" applyAlignment="1" applyProtection="1">
      <alignment horizontal="right"/>
      <protection locked="0" hidden="1"/>
    </xf>
    <xf numFmtId="49" fontId="11" fillId="0" borderId="0" xfId="0" applyNumberFormat="1" applyFont="1" applyAlignment="1">
      <alignment horizontal="center"/>
    </xf>
    <xf numFmtId="49" fontId="13" fillId="5" borderId="10" xfId="0" applyNumberFormat="1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/>
    </xf>
    <xf numFmtId="164" fontId="13" fillId="5" borderId="10" xfId="0" applyNumberFormat="1" applyFont="1" applyFill="1" applyBorder="1" applyAlignment="1">
      <alignment horizontal="center"/>
    </xf>
    <xf numFmtId="9" fontId="13" fillId="5" borderId="10" xfId="0" applyNumberFormat="1" applyFont="1" applyFill="1" applyBorder="1" applyAlignment="1">
      <alignment horizontal="center"/>
    </xf>
    <xf numFmtId="9" fontId="13" fillId="5" borderId="10" xfId="0" applyNumberFormat="1" applyFont="1" applyFill="1" applyBorder="1" applyAlignment="1">
      <alignment horizontal="left"/>
    </xf>
    <xf numFmtId="164" fontId="11" fillId="4" borderId="7" xfId="0" applyNumberFormat="1" applyFont="1" applyFill="1" applyBorder="1" applyAlignment="1" applyProtection="1">
      <alignment horizontal="right"/>
      <protection locked="0" hidden="1"/>
    </xf>
    <xf numFmtId="49" fontId="11" fillId="0" borderId="20" xfId="0" applyNumberFormat="1" applyFont="1" applyBorder="1" applyAlignment="1">
      <alignment horizontal="center"/>
    </xf>
    <xf numFmtId="49" fontId="11" fillId="2" borderId="21" xfId="0" applyNumberFormat="1" applyFont="1" applyFill="1" applyBorder="1" applyAlignment="1">
      <alignment horizontal="center"/>
    </xf>
    <xf numFmtId="164" fontId="11" fillId="0" borderId="21" xfId="0" applyNumberFormat="1" applyFont="1" applyBorder="1" applyAlignment="1">
      <alignment horizontal="center"/>
    </xf>
    <xf numFmtId="0" fontId="11" fillId="2" borderId="21" xfId="0" applyFont="1" applyFill="1" applyBorder="1" applyAlignment="1">
      <alignment horizontal="center"/>
    </xf>
    <xf numFmtId="0" fontId="11" fillId="0" borderId="22" xfId="0" applyFont="1" applyBorder="1"/>
    <xf numFmtId="49" fontId="11" fillId="0" borderId="18" xfId="0" applyNumberFormat="1" applyFont="1" applyBorder="1" applyAlignment="1">
      <alignment horizontal="center"/>
    </xf>
    <xf numFmtId="49" fontId="11" fillId="2" borderId="0" xfId="0" applyNumberFormat="1" applyFont="1" applyFill="1" applyAlignment="1">
      <alignment horizontal="center"/>
    </xf>
    <xf numFmtId="0" fontId="11" fillId="0" borderId="19" xfId="0" applyFont="1" applyBorder="1" applyAlignment="1">
      <alignment horizontal="center"/>
    </xf>
    <xf numFmtId="0" fontId="9" fillId="3" borderId="11" xfId="0" applyFont="1" applyFill="1" applyBorder="1" applyAlignment="1" applyProtection="1">
      <alignment vertical="center"/>
      <protection hidden="1"/>
    </xf>
    <xf numFmtId="0" fontId="8" fillId="3" borderId="12" xfId="0" applyFont="1" applyFill="1" applyBorder="1" applyAlignment="1" applyProtection="1">
      <alignment horizontal="right" vertical="center"/>
      <protection hidden="1"/>
    </xf>
    <xf numFmtId="5" fontId="8" fillId="3" borderId="12" xfId="0" applyNumberFormat="1" applyFont="1" applyFill="1" applyBorder="1" applyAlignment="1" applyProtection="1">
      <alignment vertical="center"/>
      <protection hidden="1"/>
    </xf>
    <xf numFmtId="5" fontId="8" fillId="3" borderId="13" xfId="0" applyNumberFormat="1" applyFont="1" applyFill="1" applyBorder="1" applyAlignment="1" applyProtection="1">
      <alignment vertical="center"/>
      <protection hidden="1"/>
    </xf>
    <xf numFmtId="10" fontId="11" fillId="4" borderId="23" xfId="0" applyNumberFormat="1" applyFont="1" applyFill="1" applyBorder="1" applyAlignment="1" applyProtection="1">
      <alignment horizontal="center"/>
      <protection locked="0" hidden="1"/>
    </xf>
    <xf numFmtId="166" fontId="11" fillId="0" borderId="21" xfId="0" applyNumberFormat="1" applyFont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166" fontId="10" fillId="3" borderId="12" xfId="2" applyNumberFormat="1" applyFont="1" applyFill="1" applyBorder="1" applyAlignment="1" applyProtection="1">
      <alignment horizontal="right" vertical="center"/>
      <protection hidden="1"/>
    </xf>
    <xf numFmtId="166" fontId="13" fillId="5" borderId="10" xfId="0" applyNumberFormat="1" applyFont="1" applyFill="1" applyBorder="1" applyAlignment="1">
      <alignment horizontal="center"/>
    </xf>
    <xf numFmtId="166" fontId="11" fillId="2" borderId="23" xfId="0" applyNumberFormat="1" applyFont="1" applyFill="1" applyBorder="1" applyProtection="1">
      <protection locked="0" hidden="1"/>
    </xf>
    <xf numFmtId="166" fontId="11" fillId="0" borderId="0" xfId="0" applyNumberFormat="1" applyFont="1"/>
    <xf numFmtId="164" fontId="11" fillId="7" borderId="24" xfId="3" applyNumberFormat="1" applyFont="1" applyAlignment="1" applyProtection="1">
      <alignment horizontal="right"/>
      <protection locked="0" hidden="1"/>
    </xf>
    <xf numFmtId="0" fontId="11" fillId="8" borderId="1" xfId="0" applyFont="1" applyFill="1" applyBorder="1" applyProtection="1">
      <protection locked="0" hidden="1"/>
    </xf>
    <xf numFmtId="0" fontId="11" fillId="0" borderId="1" xfId="0" applyFont="1" applyBorder="1" applyAlignment="1" applyProtection="1">
      <alignment horizontal="center"/>
      <protection locked="0" hidden="1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vertical="center"/>
    </xf>
    <xf numFmtId="166" fontId="24" fillId="0" borderId="1" xfId="10" applyNumberFormat="1" applyFont="1" applyFill="1" applyBorder="1" applyAlignment="1">
      <alignment horizontal="center" vertical="center" wrapText="1"/>
    </xf>
    <xf numFmtId="9" fontId="24" fillId="0" borderId="1" xfId="1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167" fontId="24" fillId="6" borderId="11" xfId="0" applyNumberFormat="1" applyFont="1" applyFill="1" applyBorder="1" applyAlignment="1">
      <alignment horizontal="center" vertical="center" wrapText="1"/>
    </xf>
    <xf numFmtId="167" fontId="24" fillId="6" borderId="14" xfId="10" applyNumberFormat="1" applyFont="1" applyFill="1" applyBorder="1" applyAlignment="1">
      <alignment horizontal="center" vertical="center" wrapText="1"/>
    </xf>
    <xf numFmtId="0" fontId="27" fillId="14" borderId="1" xfId="9" applyFont="1" applyBorder="1" applyAlignment="1">
      <alignment horizontal="center" vertical="center" wrapText="1"/>
    </xf>
    <xf numFmtId="9" fontId="27" fillId="14" borderId="1" xfId="9" applyNumberFormat="1" applyFont="1" applyBorder="1" applyAlignment="1">
      <alignment horizontal="left" vertical="center" wrapText="1"/>
    </xf>
    <xf numFmtId="0" fontId="18" fillId="0" borderId="1" xfId="9" applyFont="1" applyFill="1" applyBorder="1" applyAlignment="1">
      <alignment horizontal="left" vertical="center" wrapText="1"/>
    </xf>
    <xf numFmtId="0" fontId="28" fillId="0" borderId="0" xfId="0" applyFont="1" applyAlignment="1">
      <alignment horizontal="left" vertical="center"/>
    </xf>
    <xf numFmtId="167" fontId="22" fillId="6" borderId="32" xfId="0" applyNumberFormat="1" applyFont="1" applyFill="1" applyBorder="1" applyAlignment="1">
      <alignment horizontal="center" vertical="center" wrapText="1"/>
    </xf>
    <xf numFmtId="0" fontId="27" fillId="0" borderId="1" xfId="9" applyFont="1" applyFill="1" applyBorder="1" applyAlignment="1">
      <alignment horizontal="left" vertical="center" wrapText="1"/>
    </xf>
    <xf numFmtId="0" fontId="19" fillId="0" borderId="1" xfId="9" applyFont="1" applyFill="1" applyBorder="1" applyAlignment="1">
      <alignment horizontal="center" vertical="center" wrapText="1"/>
    </xf>
    <xf numFmtId="0" fontId="27" fillId="0" borderId="1" xfId="9" applyFont="1" applyFill="1" applyBorder="1" applyAlignment="1">
      <alignment horizontal="left" vertical="top" wrapText="1"/>
    </xf>
    <xf numFmtId="0" fontId="24" fillId="0" borderId="1" xfId="0" applyFont="1" applyBorder="1" applyAlignment="1">
      <alignment vertical="center"/>
    </xf>
    <xf numFmtId="9" fontId="27" fillId="0" borderId="0" xfId="9" applyNumberFormat="1" applyFont="1" applyFill="1" applyBorder="1" applyAlignment="1">
      <alignment horizontal="left" vertical="center" wrapText="1"/>
    </xf>
    <xf numFmtId="167" fontId="22" fillId="6" borderId="33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top"/>
    </xf>
    <xf numFmtId="0" fontId="19" fillId="15" borderId="1" xfId="0" applyFont="1" applyFill="1" applyBorder="1" applyAlignment="1">
      <alignment horizontal="left" vertical="center"/>
    </xf>
    <xf numFmtId="166" fontId="24" fillId="0" borderId="1" xfId="1" applyNumberFormat="1" applyFont="1" applyFill="1" applyBorder="1" applyAlignment="1">
      <alignment horizontal="center" vertical="center" wrapText="1"/>
    </xf>
    <xf numFmtId="9" fontId="24" fillId="0" borderId="0" xfId="0" applyNumberFormat="1" applyFont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top"/>
    </xf>
    <xf numFmtId="0" fontId="25" fillId="0" borderId="1" xfId="0" applyFont="1" applyBorder="1" applyAlignment="1">
      <alignment vertical="center"/>
    </xf>
    <xf numFmtId="0" fontId="25" fillId="0" borderId="1" xfId="0" applyFont="1" applyBorder="1" applyAlignment="1">
      <alignment horizontal="left" vertical="center" wrapText="1"/>
    </xf>
    <xf numFmtId="166" fontId="22" fillId="0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166" fontId="24" fillId="0" borderId="1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166" fontId="18" fillId="0" borderId="1" xfId="0" applyNumberFormat="1" applyFont="1" applyBorder="1" applyAlignment="1">
      <alignment horizontal="center" vertical="center" wrapText="1"/>
    </xf>
    <xf numFmtId="6" fontId="28" fillId="0" borderId="0" xfId="0" applyNumberFormat="1" applyFont="1" applyAlignment="1">
      <alignment horizontal="left" vertical="center" wrapText="1"/>
    </xf>
    <xf numFmtId="167" fontId="22" fillId="12" borderId="33" xfId="0" applyNumberFormat="1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top"/>
    </xf>
    <xf numFmtId="166" fontId="19" fillId="0" borderId="1" xfId="0" applyNumberFormat="1" applyFont="1" applyBorder="1" applyAlignment="1">
      <alignment horizontal="center" vertical="center" wrapText="1"/>
    </xf>
    <xf numFmtId="166" fontId="24" fillId="9" borderId="1" xfId="0" applyNumberFormat="1" applyFont="1" applyFill="1" applyBorder="1" applyAlignment="1">
      <alignment horizontal="center" vertical="center" wrapText="1"/>
    </xf>
    <xf numFmtId="9" fontId="24" fillId="9" borderId="0" xfId="0" applyNumberFormat="1" applyFont="1" applyFill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top"/>
    </xf>
    <xf numFmtId="0" fontId="31" fillId="0" borderId="1" xfId="0" applyFont="1" applyBorder="1" applyAlignment="1">
      <alignment vertical="center"/>
    </xf>
    <xf numFmtId="0" fontId="29" fillId="0" borderId="1" xfId="0" applyFont="1" applyBorder="1" applyAlignment="1">
      <alignment horizontal="left" vertical="center"/>
    </xf>
    <xf numFmtId="167" fontId="22" fillId="15" borderId="33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top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left" vertical="center" wrapText="1"/>
    </xf>
    <xf numFmtId="166" fontId="19" fillId="0" borderId="10" xfId="0" applyNumberFormat="1" applyFont="1" applyBorder="1" applyAlignment="1">
      <alignment horizontal="center" vertical="center" wrapText="1"/>
    </xf>
    <xf numFmtId="166" fontId="22" fillId="0" borderId="1" xfId="0" applyNumberFormat="1" applyFont="1" applyBorder="1" applyAlignment="1">
      <alignment horizontal="center" vertical="center" wrapText="1"/>
    </xf>
    <xf numFmtId="9" fontId="22" fillId="0" borderId="0" xfId="0" applyNumberFormat="1" applyFont="1" applyAlignment="1">
      <alignment horizontal="center" vertical="center" wrapText="1"/>
    </xf>
    <xf numFmtId="0" fontId="19" fillId="0" borderId="10" xfId="0" applyFont="1" applyBorder="1" applyAlignment="1">
      <alignment horizontal="left" vertical="center"/>
    </xf>
    <xf numFmtId="0" fontId="22" fillId="0" borderId="10" xfId="0" applyFont="1" applyBorder="1" applyAlignment="1">
      <alignment vertical="center"/>
    </xf>
    <xf numFmtId="0" fontId="19" fillId="16" borderId="10" xfId="0" applyFont="1" applyFill="1" applyBorder="1" applyAlignment="1">
      <alignment horizontal="left" vertical="center" wrapText="1"/>
    </xf>
    <xf numFmtId="6" fontId="28" fillId="0" borderId="0" xfId="0" applyNumberFormat="1" applyFont="1" applyAlignment="1">
      <alignment horizontal="left" vertical="center"/>
    </xf>
    <xf numFmtId="166" fontId="22" fillId="9" borderId="1" xfId="0" applyNumberFormat="1" applyFont="1" applyFill="1" applyBorder="1" applyAlignment="1">
      <alignment horizontal="center" vertical="center" wrapText="1"/>
    </xf>
    <xf numFmtId="9" fontId="22" fillId="9" borderId="0" xfId="0" applyNumberFormat="1" applyFont="1" applyFill="1" applyAlignment="1">
      <alignment horizontal="center" vertical="center" wrapText="1"/>
    </xf>
    <xf numFmtId="167" fontId="22" fillId="17" borderId="33" xfId="0" applyNumberFormat="1" applyFont="1" applyFill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166" fontId="22" fillId="18" borderId="1" xfId="0" applyNumberFormat="1" applyFont="1" applyFill="1" applyBorder="1" applyAlignment="1">
      <alignment horizontal="center" vertical="center" wrapText="1"/>
    </xf>
    <xf numFmtId="9" fontId="22" fillId="19" borderId="0" xfId="0" applyNumberFormat="1" applyFont="1" applyFill="1" applyAlignment="1">
      <alignment horizontal="center" vertical="center" wrapText="1"/>
    </xf>
    <xf numFmtId="166" fontId="24" fillId="18" borderId="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0" fontId="18" fillId="0" borderId="1" xfId="4" applyFont="1" applyBorder="1" applyAlignment="1">
      <alignment horizontal="center" vertical="center" wrapText="1"/>
    </xf>
    <xf numFmtId="0" fontId="19" fillId="14" borderId="1" xfId="9" applyFont="1" applyBorder="1" applyAlignment="1">
      <alignment horizontal="center" vertical="center" wrapText="1"/>
    </xf>
    <xf numFmtId="0" fontId="27" fillId="14" borderId="0" xfId="9" applyFont="1" applyBorder="1" applyAlignment="1">
      <alignment horizontal="left" vertical="center" wrapText="1"/>
    </xf>
    <xf numFmtId="9" fontId="27" fillId="14" borderId="0" xfId="9" applyNumberFormat="1" applyFont="1" applyBorder="1" applyAlignment="1">
      <alignment horizontal="left" vertical="center" wrapText="1"/>
    </xf>
    <xf numFmtId="0" fontId="27" fillId="0" borderId="7" xfId="9" applyFont="1" applyFill="1" applyBorder="1" applyAlignment="1">
      <alignment horizontal="left" vertical="center" wrapText="1"/>
    </xf>
    <xf numFmtId="0" fontId="27" fillId="0" borderId="8" xfId="9" applyFont="1" applyFill="1" applyBorder="1" applyAlignment="1">
      <alignment horizontal="left" vertical="center" wrapText="1"/>
    </xf>
    <xf numFmtId="0" fontId="27" fillId="0" borderId="9" xfId="9" applyFont="1" applyFill="1" applyBorder="1" applyAlignment="1">
      <alignment horizontal="left" vertical="center" wrapText="1"/>
    </xf>
    <xf numFmtId="8" fontId="18" fillId="0" borderId="1" xfId="0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left" vertical="center" wrapText="1"/>
    </xf>
    <xf numFmtId="0" fontId="22" fillId="10" borderId="1" xfId="0" applyFont="1" applyFill="1" applyBorder="1" applyAlignment="1">
      <alignment horizontal="center" vertical="center"/>
    </xf>
    <xf numFmtId="0" fontId="23" fillId="10" borderId="1" xfId="0" applyFont="1" applyFill="1" applyBorder="1" applyAlignment="1">
      <alignment horizontal="center" vertical="center"/>
    </xf>
    <xf numFmtId="0" fontId="19" fillId="10" borderId="1" xfId="0" applyFont="1" applyFill="1" applyBorder="1" applyAlignment="1">
      <alignment horizontal="center" vertical="center"/>
    </xf>
    <xf numFmtId="0" fontId="33" fillId="10" borderId="1" xfId="0" applyFont="1" applyFill="1" applyBorder="1" applyAlignment="1">
      <alignment horizontal="center" vertical="center"/>
    </xf>
    <xf numFmtId="0" fontId="19" fillId="10" borderId="1" xfId="0" applyFont="1" applyFill="1" applyBorder="1" applyAlignment="1">
      <alignment horizontal="left" vertical="center"/>
    </xf>
    <xf numFmtId="0" fontId="19" fillId="10" borderId="1" xfId="0" applyFont="1" applyFill="1" applyBorder="1" applyAlignment="1">
      <alignment horizontal="center" vertical="center" wrapText="1"/>
    </xf>
    <xf numFmtId="0" fontId="19" fillId="10" borderId="1" xfId="0" applyFont="1" applyFill="1" applyBorder="1" applyAlignment="1">
      <alignment horizontal="left" vertical="center" wrapText="1"/>
    </xf>
    <xf numFmtId="0" fontId="18" fillId="10" borderId="1" xfId="0" applyFont="1" applyFill="1" applyBorder="1" applyAlignment="1">
      <alignment horizontal="left" vertical="center" wrapText="1"/>
    </xf>
    <xf numFmtId="0" fontId="18" fillId="10" borderId="1" xfId="0" applyFont="1" applyFill="1" applyBorder="1" applyAlignment="1">
      <alignment horizontal="left" vertical="top" wrapText="1"/>
    </xf>
    <xf numFmtId="0" fontId="18" fillId="10" borderId="1" xfId="0" applyFont="1" applyFill="1" applyBorder="1" applyAlignment="1">
      <alignment horizontal="center" vertical="center" wrapText="1"/>
    </xf>
    <xf numFmtId="166" fontId="22" fillId="10" borderId="1" xfId="0" applyNumberFormat="1" applyFont="1" applyFill="1" applyBorder="1" applyAlignment="1">
      <alignment horizontal="center" vertical="center" wrapText="1"/>
    </xf>
    <xf numFmtId="9" fontId="22" fillId="10" borderId="0" xfId="0" applyNumberFormat="1" applyFont="1" applyFill="1" applyAlignment="1">
      <alignment horizontal="center" vertical="center" wrapText="1"/>
    </xf>
    <xf numFmtId="0" fontId="18" fillId="0" borderId="1" xfId="4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0" fontId="18" fillId="10" borderId="1" xfId="0" applyFont="1" applyFill="1" applyBorder="1" applyAlignment="1">
      <alignment horizontal="center" vertical="center"/>
    </xf>
    <xf numFmtId="0" fontId="19" fillId="10" borderId="1" xfId="0" applyFont="1" applyFill="1" applyBorder="1" applyAlignment="1">
      <alignment vertical="center"/>
    </xf>
    <xf numFmtId="0" fontId="34" fillId="10" borderId="1" xfId="0" applyFont="1" applyFill="1" applyBorder="1" applyAlignment="1">
      <alignment horizontal="left" vertical="top" wrapText="1"/>
    </xf>
    <xf numFmtId="166" fontId="18" fillId="10" borderId="1" xfId="0" applyNumberFormat="1" applyFont="1" applyFill="1" applyBorder="1" applyAlignment="1">
      <alignment horizontal="center" vertical="top" wrapText="1"/>
    </xf>
    <xf numFmtId="0" fontId="19" fillId="10" borderId="1" xfId="0" applyFont="1" applyFill="1" applyBorder="1" applyAlignment="1">
      <alignment horizontal="left" vertical="top" wrapText="1"/>
    </xf>
    <xf numFmtId="0" fontId="19" fillId="20" borderId="1" xfId="0" applyFont="1" applyFill="1" applyBorder="1" applyAlignment="1">
      <alignment horizontal="center" vertical="center" wrapText="1"/>
    </xf>
    <xf numFmtId="166" fontId="18" fillId="0" borderId="1" xfId="0" applyNumberFormat="1" applyFont="1" applyBorder="1" applyAlignment="1">
      <alignment horizontal="center" vertical="top" wrapText="1"/>
    </xf>
    <xf numFmtId="0" fontId="19" fillId="0" borderId="1" xfId="4" applyFont="1" applyBorder="1" applyAlignment="1">
      <alignment horizontal="center" vertical="center" wrapText="1"/>
    </xf>
    <xf numFmtId="0" fontId="19" fillId="16" borderId="1" xfId="0" applyFont="1" applyFill="1" applyBorder="1" applyAlignment="1">
      <alignment horizontal="left" vertical="center" wrapText="1"/>
    </xf>
    <xf numFmtId="9" fontId="24" fillId="18" borderId="0" xfId="0" applyNumberFormat="1" applyFont="1" applyFill="1" applyAlignment="1">
      <alignment horizontal="center" vertical="center" wrapText="1"/>
    </xf>
    <xf numFmtId="0" fontId="35" fillId="0" borderId="1" xfId="0" applyFont="1" applyBorder="1" applyAlignment="1">
      <alignment horizontal="center" vertical="top"/>
    </xf>
    <xf numFmtId="0" fontId="25" fillId="0" borderId="1" xfId="0" applyFont="1" applyBorder="1" applyAlignment="1">
      <alignment horizontal="left" vertical="center"/>
    </xf>
    <xf numFmtId="0" fontId="18" fillId="6" borderId="1" xfId="0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top"/>
    </xf>
    <xf numFmtId="166" fontId="18" fillId="0" borderId="1" xfId="1" applyNumberFormat="1" applyFont="1" applyFill="1" applyBorder="1" applyAlignment="1">
      <alignment horizontal="center" vertical="top" wrapText="1"/>
    </xf>
    <xf numFmtId="166" fontId="24" fillId="6" borderId="1" xfId="0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8" fontId="18" fillId="0" borderId="1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166" fontId="24" fillId="0" borderId="1" xfId="4" applyNumberFormat="1" applyFont="1" applyBorder="1" applyAlignment="1">
      <alignment horizontal="center" vertical="center" wrapText="1"/>
    </xf>
    <xf numFmtId="166" fontId="24" fillId="6" borderId="1" xfId="4" applyNumberFormat="1" applyFont="1" applyFill="1" applyBorder="1" applyAlignment="1">
      <alignment horizontal="center" vertical="center" wrapText="1"/>
    </xf>
    <xf numFmtId="0" fontId="30" fillId="6" borderId="1" xfId="0" applyFont="1" applyFill="1" applyBorder="1" applyAlignment="1">
      <alignment horizontal="center" vertical="top"/>
    </xf>
    <xf numFmtId="0" fontId="19" fillId="0" borderId="1" xfId="4" applyFont="1" applyBorder="1" applyAlignment="1">
      <alignment horizontal="left" vertical="center" wrapText="1"/>
    </xf>
    <xf numFmtId="8" fontId="19" fillId="0" borderId="1" xfId="0" applyNumberFormat="1" applyFont="1" applyBorder="1" applyAlignment="1">
      <alignment horizontal="center" vertical="center" wrapText="1"/>
    </xf>
    <xf numFmtId="166" fontId="22" fillId="0" borderId="1" xfId="4" applyNumberFormat="1" applyFont="1" applyBorder="1" applyAlignment="1">
      <alignment horizontal="center" vertical="center" wrapText="1"/>
    </xf>
    <xf numFmtId="166" fontId="22" fillId="6" borderId="1" xfId="4" applyNumberFormat="1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left" vertical="center" wrapText="1"/>
    </xf>
    <xf numFmtId="166" fontId="25" fillId="0" borderId="1" xfId="4" applyNumberFormat="1" applyFont="1" applyBorder="1" applyAlignment="1">
      <alignment horizontal="center" vertical="center" wrapText="1"/>
    </xf>
    <xf numFmtId="166" fontId="22" fillId="6" borderId="1" xfId="0" applyNumberFormat="1" applyFont="1" applyFill="1" applyBorder="1" applyAlignment="1">
      <alignment horizontal="center" vertical="center" wrapText="1"/>
    </xf>
    <xf numFmtId="9" fontId="22" fillId="18" borderId="0" xfId="0" applyNumberFormat="1" applyFont="1" applyFill="1" applyAlignment="1">
      <alignment horizontal="center" vertical="center" wrapText="1"/>
    </xf>
    <xf numFmtId="0" fontId="36" fillId="0" borderId="1" xfId="0" applyFont="1" applyBorder="1" applyAlignment="1">
      <alignment horizontal="left" vertical="center" wrapText="1"/>
    </xf>
    <xf numFmtId="0" fontId="37" fillId="0" borderId="1" xfId="0" applyFont="1" applyBorder="1" applyAlignment="1">
      <alignment horizontal="center" vertical="top"/>
    </xf>
    <xf numFmtId="0" fontId="25" fillId="0" borderId="1" xfId="0" applyFont="1" applyBorder="1" applyAlignment="1">
      <alignment horizontal="center"/>
    </xf>
    <xf numFmtId="9" fontId="25" fillId="0" borderId="0" xfId="0" applyNumberFormat="1" applyFont="1" applyAlignment="1">
      <alignment horizontal="left" vertical="center"/>
    </xf>
    <xf numFmtId="3" fontId="22" fillId="0" borderId="1" xfId="0" applyNumberFormat="1" applyFont="1" applyBorder="1" applyAlignment="1">
      <alignment horizontal="center" vertical="center"/>
    </xf>
    <xf numFmtId="166" fontId="18" fillId="0" borderId="1" xfId="4" applyNumberFormat="1" applyFont="1" applyBorder="1" applyAlignment="1">
      <alignment horizontal="center" vertical="center" wrapText="1"/>
    </xf>
    <xf numFmtId="9" fontId="24" fillId="0" borderId="0" xfId="4" applyNumberFormat="1" applyFont="1" applyAlignment="1">
      <alignment horizontal="center" vertical="center" wrapText="1"/>
    </xf>
    <xf numFmtId="0" fontId="19" fillId="6" borderId="1" xfId="4" applyFont="1" applyFill="1" applyBorder="1" applyAlignment="1">
      <alignment horizontal="left" vertical="center" wrapText="1"/>
    </xf>
    <xf numFmtId="0" fontId="19" fillId="6" borderId="1" xfId="4" applyFont="1" applyFill="1" applyBorder="1" applyAlignment="1">
      <alignment horizontal="center" vertical="center" wrapText="1"/>
    </xf>
    <xf numFmtId="166" fontId="19" fillId="0" borderId="1" xfId="4" applyNumberFormat="1" applyFont="1" applyBorder="1" applyAlignment="1">
      <alignment horizontal="center" vertical="center" wrapText="1"/>
    </xf>
    <xf numFmtId="9" fontId="22" fillId="0" borderId="0" xfId="4" applyNumberFormat="1" applyFont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/>
    </xf>
    <xf numFmtId="0" fontId="25" fillId="6" borderId="1" xfId="0" applyFont="1" applyFill="1" applyBorder="1" applyAlignment="1">
      <alignment horizontal="center" vertical="top"/>
    </xf>
    <xf numFmtId="0" fontId="24" fillId="0" borderId="1" xfId="0" applyFont="1" applyBorder="1" applyAlignment="1">
      <alignment horizontal="center" vertical="top"/>
    </xf>
    <xf numFmtId="0" fontId="23" fillId="6" borderId="1" xfId="0" applyFont="1" applyFill="1" applyBorder="1" applyAlignment="1">
      <alignment horizontal="center" vertical="center"/>
    </xf>
    <xf numFmtId="0" fontId="23" fillId="6" borderId="1" xfId="0" applyFont="1" applyFill="1" applyBorder="1" applyAlignment="1">
      <alignment horizontal="center" vertical="top"/>
    </xf>
    <xf numFmtId="0" fontId="34" fillId="0" borderId="1" xfId="0" applyFont="1" applyBorder="1" applyAlignment="1">
      <alignment horizontal="center" vertical="top" wrapText="1"/>
    </xf>
    <xf numFmtId="0" fontId="34" fillId="0" borderId="1" xfId="0" applyFont="1" applyBorder="1" applyAlignment="1">
      <alignment horizontal="left" vertical="top" wrapText="1"/>
    </xf>
    <xf numFmtId="0" fontId="25" fillId="10" borderId="1" xfId="0" applyFont="1" applyFill="1" applyBorder="1" applyAlignment="1">
      <alignment horizontal="center" vertical="center"/>
    </xf>
    <xf numFmtId="0" fontId="25" fillId="10" borderId="1" xfId="0" applyFont="1" applyFill="1" applyBorder="1" applyAlignment="1">
      <alignment horizontal="center" vertical="top"/>
    </xf>
    <xf numFmtId="0" fontId="22" fillId="10" borderId="1" xfId="0" applyFont="1" applyFill="1" applyBorder="1" applyAlignment="1">
      <alignment vertical="center"/>
    </xf>
    <xf numFmtId="0" fontId="19" fillId="10" borderId="1" xfId="4" applyFont="1" applyFill="1" applyBorder="1" applyAlignment="1">
      <alignment horizontal="left" vertical="center" wrapText="1"/>
    </xf>
    <xf numFmtId="0" fontId="19" fillId="10" borderId="1" xfId="4" applyFont="1" applyFill="1" applyBorder="1" applyAlignment="1">
      <alignment horizontal="center" vertical="center" wrapText="1"/>
    </xf>
    <xf numFmtId="0" fontId="34" fillId="10" borderId="1" xfId="0" applyFont="1" applyFill="1" applyBorder="1" applyAlignment="1">
      <alignment horizontal="center" vertical="top" wrapText="1"/>
    </xf>
    <xf numFmtId="0" fontId="34" fillId="10" borderId="1" xfId="0" applyFont="1" applyFill="1" applyBorder="1" applyAlignment="1">
      <alignment horizontal="left" vertical="center" wrapText="1"/>
    </xf>
    <xf numFmtId="8" fontId="18" fillId="10" borderId="1" xfId="0" applyNumberFormat="1" applyFont="1" applyFill="1" applyBorder="1" applyAlignment="1">
      <alignment horizontal="center" vertical="center" wrapText="1"/>
    </xf>
    <xf numFmtId="0" fontId="30" fillId="6" borderId="0" xfId="0" applyFont="1" applyFill="1" applyAlignment="1">
      <alignment horizontal="center" vertical="center"/>
    </xf>
    <xf numFmtId="0" fontId="25" fillId="0" borderId="0" xfId="0" applyFont="1" applyAlignment="1">
      <alignment horizontal="left" vertical="top"/>
    </xf>
    <xf numFmtId="6" fontId="18" fillId="0" borderId="1" xfId="0" applyNumberFormat="1" applyFont="1" applyBorder="1" applyAlignment="1">
      <alignment horizontal="left" vertical="center" wrapText="1"/>
    </xf>
    <xf numFmtId="165" fontId="25" fillId="0" borderId="1" xfId="0" applyNumberFormat="1" applyFont="1" applyBorder="1" applyAlignment="1">
      <alignment horizontal="left" vertical="center" wrapText="1"/>
    </xf>
    <xf numFmtId="166" fontId="22" fillId="0" borderId="1" xfId="0" applyNumberFormat="1" applyFont="1" applyBorder="1" applyAlignment="1">
      <alignment horizontal="center" vertical="center"/>
    </xf>
    <xf numFmtId="166" fontId="22" fillId="6" borderId="1" xfId="0" applyNumberFormat="1" applyFont="1" applyFill="1" applyBorder="1" applyAlignment="1">
      <alignment horizontal="center" vertical="center"/>
    </xf>
    <xf numFmtId="9" fontId="22" fillId="0" borderId="0" xfId="0" applyNumberFormat="1" applyFont="1" applyAlignment="1">
      <alignment horizontal="center" vertical="center"/>
    </xf>
    <xf numFmtId="0" fontId="30" fillId="0" borderId="1" xfId="0" applyFont="1" applyBorder="1" applyAlignment="1">
      <alignment horizontal="left" vertical="center" wrapText="1"/>
    </xf>
    <xf numFmtId="0" fontId="34" fillId="0" borderId="1" xfId="0" applyFont="1" applyBorder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38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left" vertical="center" wrapText="1"/>
    </xf>
    <xf numFmtId="9" fontId="24" fillId="6" borderId="0" xfId="4" applyNumberFormat="1" applyFont="1" applyFill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22" fillId="6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vertical="center"/>
    </xf>
    <xf numFmtId="0" fontId="19" fillId="6" borderId="1" xfId="0" applyFont="1" applyFill="1" applyBorder="1" applyAlignment="1">
      <alignment horizontal="left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left" vertical="center" wrapText="1"/>
    </xf>
    <xf numFmtId="9" fontId="24" fillId="6" borderId="0" xfId="0" applyNumberFormat="1" applyFont="1" applyFill="1" applyAlignment="1">
      <alignment horizontal="center" vertical="center" wrapText="1"/>
    </xf>
    <xf numFmtId="0" fontId="18" fillId="6" borderId="0" xfId="0" applyFont="1" applyFill="1" applyAlignment="1">
      <alignment horizontal="left" vertical="center"/>
    </xf>
    <xf numFmtId="0" fontId="28" fillId="6" borderId="0" xfId="0" applyFont="1" applyFill="1" applyAlignment="1">
      <alignment horizontal="left" vertical="center"/>
    </xf>
    <xf numFmtId="0" fontId="22" fillId="0" borderId="1" xfId="0" applyFont="1" applyBorder="1" applyAlignment="1">
      <alignment horizontal="center" vertical="top"/>
    </xf>
    <xf numFmtId="0" fontId="39" fillId="6" borderId="1" xfId="0" applyFont="1" applyFill="1" applyBorder="1" applyAlignment="1">
      <alignment horizontal="center" vertical="center"/>
    </xf>
    <xf numFmtId="0" fontId="39" fillId="6" borderId="1" xfId="0" applyFont="1" applyFill="1" applyBorder="1" applyAlignment="1">
      <alignment horizontal="center" vertical="top"/>
    </xf>
    <xf numFmtId="0" fontId="18" fillId="0" borderId="1" xfId="4" applyFont="1" applyBorder="1" applyAlignment="1">
      <alignment horizontal="center" vertical="top"/>
    </xf>
    <xf numFmtId="0" fontId="22" fillId="0" borderId="1" xfId="4" applyFont="1" applyBorder="1" applyAlignment="1">
      <alignment vertical="center"/>
    </xf>
    <xf numFmtId="0" fontId="18" fillId="0" borderId="1" xfId="4" applyFont="1" applyBorder="1" applyAlignment="1">
      <alignment horizontal="left" vertical="top" wrapText="1"/>
    </xf>
    <xf numFmtId="166" fontId="24" fillId="0" borderId="1" xfId="11" applyNumberFormat="1" applyFont="1" applyBorder="1" applyAlignment="1">
      <alignment horizontal="center" vertical="center" wrapText="1"/>
    </xf>
    <xf numFmtId="166" fontId="24" fillId="6" borderId="1" xfId="11" applyNumberFormat="1" applyFont="1" applyFill="1" applyBorder="1" applyAlignment="1">
      <alignment horizontal="center" vertical="center" wrapText="1"/>
    </xf>
    <xf numFmtId="9" fontId="24" fillId="0" borderId="0" xfId="11" applyNumberFormat="1" applyFont="1" applyBorder="1" applyAlignment="1">
      <alignment horizontal="center" vertical="center" wrapText="1"/>
    </xf>
    <xf numFmtId="166" fontId="40" fillId="0" borderId="1" xfId="11" applyNumberFormat="1" applyFont="1" applyBorder="1" applyAlignment="1">
      <alignment horizontal="center" vertical="center" wrapText="1"/>
    </xf>
    <xf numFmtId="166" fontId="40" fillId="6" borderId="1" xfId="11" applyNumberFormat="1" applyFont="1" applyFill="1" applyBorder="1" applyAlignment="1">
      <alignment horizontal="center" vertical="center" wrapText="1"/>
    </xf>
    <xf numFmtId="9" fontId="40" fillId="0" borderId="0" xfId="11" applyNumberFormat="1" applyFont="1" applyBorder="1" applyAlignment="1">
      <alignment horizontal="center" vertical="center" wrapText="1"/>
    </xf>
    <xf numFmtId="166" fontId="22" fillId="0" borderId="1" xfId="11" applyNumberFormat="1" applyFont="1" applyFill="1" applyBorder="1" applyAlignment="1">
      <alignment horizontal="center" vertical="center" wrapText="1"/>
    </xf>
    <xf numFmtId="166" fontId="22" fillId="6" borderId="1" xfId="11" applyNumberFormat="1" applyFont="1" applyFill="1" applyBorder="1" applyAlignment="1">
      <alignment horizontal="center" vertical="center" wrapText="1"/>
    </xf>
    <xf numFmtId="9" fontId="22" fillId="0" borderId="0" xfId="11" applyNumberFormat="1" applyFont="1" applyFill="1" applyBorder="1" applyAlignment="1">
      <alignment horizontal="center" vertical="center" wrapText="1"/>
    </xf>
    <xf numFmtId="0" fontId="34" fillId="0" borderId="1" xfId="4" applyFont="1" applyBorder="1" applyAlignment="1">
      <alignment horizontal="left" vertical="center" wrapText="1"/>
    </xf>
    <xf numFmtId="0" fontId="39" fillId="0" borderId="1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top"/>
    </xf>
    <xf numFmtId="0" fontId="39" fillId="0" borderId="1" xfId="0" applyFont="1" applyBorder="1" applyAlignment="1">
      <alignment horizontal="left" vertical="center" wrapText="1"/>
    </xf>
    <xf numFmtId="0" fontId="19" fillId="14" borderId="1" xfId="9" applyFont="1" applyBorder="1" applyAlignment="1">
      <alignment horizontal="left" vertical="center" wrapText="1"/>
    </xf>
    <xf numFmtId="9" fontId="27" fillId="14" borderId="0" xfId="9" applyNumberFormat="1" applyFont="1" applyBorder="1" applyAlignment="1">
      <alignment horizontal="left" vertical="center"/>
    </xf>
    <xf numFmtId="0" fontId="41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center" wrapText="1"/>
    </xf>
    <xf numFmtId="0" fontId="19" fillId="22" borderId="1" xfId="9" applyFont="1" applyFill="1" applyBorder="1" applyAlignment="1">
      <alignment horizontal="center" vertical="center" wrapText="1"/>
    </xf>
    <xf numFmtId="0" fontId="27" fillId="22" borderId="1" xfId="9" applyFont="1" applyFill="1" applyBorder="1" applyAlignment="1">
      <alignment horizontal="left" vertical="center"/>
    </xf>
    <xf numFmtId="0" fontId="27" fillId="22" borderId="1" xfId="9" applyFont="1" applyFill="1" applyBorder="1" applyAlignment="1">
      <alignment horizontal="left" vertical="top"/>
    </xf>
    <xf numFmtId="0" fontId="22" fillId="14" borderId="1" xfId="9" applyFont="1" applyBorder="1" applyAlignment="1">
      <alignment vertical="center"/>
    </xf>
    <xf numFmtId="166" fontId="24" fillId="14" borderId="1" xfId="9" applyNumberFormat="1" applyFont="1" applyBorder="1" applyAlignment="1">
      <alignment horizontal="center" vertical="center" wrapText="1"/>
    </xf>
    <xf numFmtId="9" fontId="24" fillId="14" borderId="0" xfId="9" applyNumberFormat="1" applyFont="1" applyBorder="1" applyAlignment="1">
      <alignment horizontal="center" vertical="center" wrapText="1"/>
    </xf>
    <xf numFmtId="0" fontId="18" fillId="13" borderId="0" xfId="0" applyFont="1" applyFill="1" applyAlignment="1">
      <alignment horizontal="left" vertical="center"/>
    </xf>
    <xf numFmtId="167" fontId="22" fillId="13" borderId="33" xfId="0" applyNumberFormat="1" applyFont="1" applyFill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top"/>
    </xf>
    <xf numFmtId="166" fontId="22" fillId="0" borderId="1" xfId="10" applyNumberFormat="1" applyFont="1" applyBorder="1" applyAlignment="1">
      <alignment horizontal="center" vertical="center" wrapText="1"/>
    </xf>
    <xf numFmtId="9" fontId="22" fillId="0" borderId="0" xfId="10" applyNumberFormat="1" applyFont="1" applyBorder="1" applyAlignment="1">
      <alignment horizontal="center" vertical="center" wrapText="1"/>
    </xf>
    <xf numFmtId="166" fontId="22" fillId="9" borderId="1" xfId="10" applyNumberFormat="1" applyFont="1" applyFill="1" applyBorder="1" applyAlignment="1">
      <alignment horizontal="center" vertical="center" wrapText="1"/>
    </xf>
    <xf numFmtId="9" fontId="22" fillId="9" borderId="0" xfId="10" applyNumberFormat="1" applyFont="1" applyFill="1" applyBorder="1" applyAlignment="1">
      <alignment horizontal="center" vertical="center" wrapText="1"/>
    </xf>
    <xf numFmtId="166" fontId="22" fillId="0" borderId="1" xfId="10" applyNumberFormat="1" applyFont="1" applyFill="1" applyBorder="1" applyAlignment="1">
      <alignment horizontal="center" vertical="center" wrapText="1"/>
    </xf>
    <xf numFmtId="9" fontId="22" fillId="0" borderId="0" xfId="10" applyNumberFormat="1" applyFont="1" applyFill="1" applyBorder="1" applyAlignment="1">
      <alignment horizontal="center" vertical="center" wrapText="1"/>
    </xf>
    <xf numFmtId="167" fontId="22" fillId="0" borderId="33" xfId="0" applyNumberFormat="1" applyFont="1" applyBorder="1" applyAlignment="1">
      <alignment horizontal="center" vertical="center" wrapText="1"/>
    </xf>
    <xf numFmtId="9" fontId="28" fillId="0" borderId="0" xfId="2" applyFont="1" applyFill="1" applyAlignment="1">
      <alignment horizontal="left" vertical="center"/>
    </xf>
    <xf numFmtId="166" fontId="22" fillId="17" borderId="1" xfId="1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8" fontId="24" fillId="0" borderId="1" xfId="0" applyNumberFormat="1" applyFont="1" applyBorder="1" applyAlignment="1">
      <alignment horizontal="center" vertical="center" wrapText="1"/>
    </xf>
    <xf numFmtId="8" fontId="22" fillId="0" borderId="1" xfId="1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top" wrapText="1"/>
    </xf>
    <xf numFmtId="8" fontId="22" fillId="17" borderId="1" xfId="10" applyNumberFormat="1" applyFont="1" applyFill="1" applyBorder="1" applyAlignment="1">
      <alignment horizontal="center" vertical="center" wrapText="1"/>
    </xf>
    <xf numFmtId="0" fontId="18" fillId="10" borderId="1" xfId="0" applyFont="1" applyFill="1" applyBorder="1" applyAlignment="1">
      <alignment horizontal="center" vertical="top" wrapText="1"/>
    </xf>
    <xf numFmtId="166" fontId="22" fillId="10" borderId="1" xfId="0" applyNumberFormat="1" applyFont="1" applyFill="1" applyBorder="1" applyAlignment="1">
      <alignment horizontal="center" vertical="center"/>
    </xf>
    <xf numFmtId="9" fontId="22" fillId="10" borderId="0" xfId="0" applyNumberFormat="1" applyFont="1" applyFill="1" applyAlignment="1">
      <alignment horizontal="center" vertical="center"/>
    </xf>
    <xf numFmtId="0" fontId="27" fillId="14" borderId="1" xfId="9" applyFont="1" applyBorder="1" applyAlignment="1">
      <alignment horizontal="left" vertical="center"/>
    </xf>
    <xf numFmtId="0" fontId="27" fillId="14" borderId="1" xfId="9" applyFont="1" applyBorder="1" applyAlignment="1">
      <alignment horizontal="left" vertical="top"/>
    </xf>
    <xf numFmtId="166" fontId="27" fillId="14" borderId="1" xfId="9" applyNumberFormat="1" applyFont="1" applyBorder="1" applyAlignment="1">
      <alignment horizontal="center" vertical="center" wrapText="1"/>
    </xf>
    <xf numFmtId="9" fontId="27" fillId="14" borderId="0" xfId="9" applyNumberFormat="1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top"/>
    </xf>
    <xf numFmtId="0" fontId="22" fillId="0" borderId="0" xfId="0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166" fontId="24" fillId="0" borderId="0" xfId="0" applyNumberFormat="1" applyFont="1" applyAlignment="1">
      <alignment horizontal="center" vertical="center" wrapText="1"/>
    </xf>
    <xf numFmtId="0" fontId="22" fillId="23" borderId="1" xfId="0" applyFont="1" applyFill="1" applyBorder="1" applyAlignment="1">
      <alignment horizontal="center" vertical="center"/>
    </xf>
    <xf numFmtId="0" fontId="23" fillId="23" borderId="1" xfId="0" applyFont="1" applyFill="1" applyBorder="1" applyAlignment="1">
      <alignment horizontal="center" vertical="center"/>
    </xf>
    <xf numFmtId="0" fontId="19" fillId="23" borderId="1" xfId="0" applyFont="1" applyFill="1" applyBorder="1" applyAlignment="1">
      <alignment horizontal="center" vertical="center"/>
    </xf>
    <xf numFmtId="0" fontId="27" fillId="23" borderId="1" xfId="0" applyFont="1" applyFill="1" applyBorder="1" applyAlignment="1">
      <alignment horizontal="left" vertical="center"/>
    </xf>
    <xf numFmtId="0" fontId="18" fillId="23" borderId="1" xfId="0" applyFont="1" applyFill="1" applyBorder="1" applyAlignment="1">
      <alignment horizontal="center" vertical="top"/>
    </xf>
    <xf numFmtId="0" fontId="18" fillId="23" borderId="1" xfId="0" applyFont="1" applyFill="1" applyBorder="1" applyAlignment="1">
      <alignment horizontal="left" vertical="center"/>
    </xf>
    <xf numFmtId="0" fontId="18" fillId="23" borderId="1" xfId="0" applyFont="1" applyFill="1" applyBorder="1" applyAlignment="1">
      <alignment horizontal="center" vertical="center" wrapText="1"/>
    </xf>
    <xf numFmtId="0" fontId="18" fillId="23" borderId="1" xfId="0" applyFont="1" applyFill="1" applyBorder="1" applyAlignment="1">
      <alignment horizontal="left" vertical="center" wrapText="1"/>
    </xf>
    <xf numFmtId="9" fontId="43" fillId="23" borderId="1" xfId="0" applyNumberFormat="1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166" fontId="21" fillId="0" borderId="1" xfId="0" applyNumberFormat="1" applyFont="1" applyBorder="1" applyAlignment="1">
      <alignment horizontal="center" vertical="center" wrapText="1"/>
    </xf>
    <xf numFmtId="9" fontId="24" fillId="0" borderId="1" xfId="0" applyNumberFormat="1" applyFont="1" applyBorder="1" applyAlignment="1">
      <alignment horizontal="center" vertical="center" wrapText="1"/>
    </xf>
    <xf numFmtId="167" fontId="44" fillId="6" borderId="33" xfId="0" applyNumberFormat="1" applyFont="1" applyFill="1" applyBorder="1" applyAlignment="1">
      <alignment horizontal="center" vertical="center" wrapText="1"/>
    </xf>
    <xf numFmtId="167" fontId="44" fillId="6" borderId="17" xfId="0" applyNumberFormat="1" applyFont="1" applyFill="1" applyBorder="1" applyAlignment="1">
      <alignment horizontal="center" vertical="center" wrapText="1"/>
    </xf>
    <xf numFmtId="0" fontId="7" fillId="0" borderId="0" xfId="0" applyFont="1"/>
    <xf numFmtId="2" fontId="11" fillId="7" borderId="24" xfId="3" applyNumberFormat="1" applyFont="1" applyAlignment="1" applyProtection="1">
      <alignment horizontal="center" wrapText="1"/>
      <protection locked="0" hidden="1"/>
    </xf>
    <xf numFmtId="0" fontId="6" fillId="6" borderId="10" xfId="4" applyFill="1" applyBorder="1" applyAlignment="1" applyProtection="1">
      <alignment horizontal="center"/>
      <protection locked="0"/>
    </xf>
    <xf numFmtId="0" fontId="6" fillId="9" borderId="10" xfId="4" applyFill="1" applyBorder="1" applyAlignment="1" applyProtection="1">
      <alignment horizontal="center"/>
      <protection locked="0"/>
    </xf>
    <xf numFmtId="0" fontId="7" fillId="9" borderId="10" xfId="4" applyFont="1" applyFill="1" applyBorder="1" applyAlignment="1" applyProtection="1">
      <alignment horizontal="center"/>
      <protection locked="0"/>
    </xf>
    <xf numFmtId="166" fontId="6" fillId="9" borderId="10" xfId="4" applyNumberFormat="1" applyFill="1" applyBorder="1" applyAlignment="1" applyProtection="1">
      <alignment horizontal="center"/>
      <protection locked="0"/>
    </xf>
    <xf numFmtId="166" fontId="7" fillId="9" borderId="10" xfId="4" applyNumberFormat="1" applyFont="1" applyFill="1" applyBorder="1" applyAlignment="1" applyProtection="1">
      <alignment horizontal="center"/>
      <protection locked="0"/>
    </xf>
    <xf numFmtId="165" fontId="6" fillId="9" borderId="10" xfId="4" applyNumberFormat="1" applyFill="1" applyBorder="1" applyAlignment="1" applyProtection="1">
      <alignment horizontal="center"/>
      <protection locked="0"/>
    </xf>
    <xf numFmtId="0" fontId="6" fillId="9" borderId="5" xfId="4" applyFill="1" applyBorder="1" applyAlignment="1" applyProtection="1">
      <alignment horizontal="center"/>
      <protection locked="0"/>
    </xf>
    <xf numFmtId="0" fontId="45" fillId="0" borderId="0" xfId="0" applyFont="1"/>
    <xf numFmtId="0" fontId="46" fillId="0" borderId="0" xfId="0" applyFont="1"/>
    <xf numFmtId="0" fontId="46" fillId="0" borderId="28" xfId="0" applyFont="1" applyBorder="1"/>
    <xf numFmtId="0" fontId="46" fillId="0" borderId="0" xfId="0" applyFont="1" applyAlignment="1">
      <alignment wrapText="1"/>
    </xf>
    <xf numFmtId="3" fontId="47" fillId="24" borderId="1" xfId="0" applyNumberFormat="1" applyFont="1" applyFill="1" applyBorder="1"/>
    <xf numFmtId="0" fontId="48" fillId="0" borderId="0" xfId="0" applyFont="1"/>
    <xf numFmtId="3" fontId="47" fillId="24" borderId="10" xfId="0" applyNumberFormat="1" applyFont="1" applyFill="1" applyBorder="1"/>
    <xf numFmtId="9" fontId="47" fillId="24" borderId="10" xfId="0" applyNumberFormat="1" applyFont="1" applyFill="1" applyBorder="1"/>
    <xf numFmtId="14" fontId="47" fillId="24" borderId="1" xfId="0" applyNumberFormat="1" applyFont="1" applyFill="1" applyBorder="1"/>
    <xf numFmtId="0" fontId="9" fillId="0" borderId="0" xfId="0" applyFont="1"/>
    <xf numFmtId="0" fontId="8" fillId="24" borderId="0" xfId="0" applyFont="1" applyFill="1"/>
    <xf numFmtId="9" fontId="47" fillId="26" borderId="1" xfId="0" applyNumberFormat="1" applyFont="1" applyFill="1" applyBorder="1"/>
    <xf numFmtId="0" fontId="49" fillId="0" borderId="29" xfId="0" applyFont="1" applyBorder="1"/>
    <xf numFmtId="3" fontId="9" fillId="25" borderId="9" xfId="0" applyNumberFormat="1" applyFont="1" applyFill="1" applyBorder="1"/>
    <xf numFmtId="0" fontId="46" fillId="24" borderId="0" xfId="0" applyFont="1" applyFill="1"/>
    <xf numFmtId="0" fontId="7" fillId="24" borderId="0" xfId="0" applyFont="1" applyFill="1"/>
    <xf numFmtId="0" fontId="50" fillId="0" borderId="0" xfId="0" applyFont="1"/>
    <xf numFmtId="0" fontId="0" fillId="27" borderId="1" xfId="0" applyFill="1" applyBorder="1"/>
    <xf numFmtId="0" fontId="0" fillId="27" borderId="9" xfId="0" applyFill="1" applyBorder="1"/>
    <xf numFmtId="0" fontId="46" fillId="27" borderId="27" xfId="0" applyFont="1" applyFill="1" applyBorder="1"/>
    <xf numFmtId="0" fontId="46" fillId="27" borderId="28" xfId="0" applyFont="1" applyFill="1" applyBorder="1"/>
    <xf numFmtId="0" fontId="46" fillId="27" borderId="29" xfId="0" applyFont="1" applyFill="1" applyBorder="1"/>
    <xf numFmtId="0" fontId="45" fillId="27" borderId="27" xfId="0" applyFont="1" applyFill="1" applyBorder="1"/>
    <xf numFmtId="0" fontId="45" fillId="27" borderId="28" xfId="0" applyFont="1" applyFill="1" applyBorder="1"/>
    <xf numFmtId="0" fontId="46" fillId="27" borderId="2" xfId="0" applyFont="1" applyFill="1" applyBorder="1"/>
    <xf numFmtId="0" fontId="46" fillId="27" borderId="0" xfId="0" applyFont="1" applyFill="1"/>
    <xf numFmtId="0" fontId="46" fillId="27" borderId="3" xfId="0" applyFont="1" applyFill="1" applyBorder="1"/>
    <xf numFmtId="0" fontId="46" fillId="0" borderId="7" xfId="0" applyFont="1" applyBorder="1"/>
    <xf numFmtId="3" fontId="9" fillId="25" borderId="1" xfId="0" applyNumberFormat="1" applyFont="1" applyFill="1" applyBorder="1"/>
    <xf numFmtId="0" fontId="48" fillId="24" borderId="0" xfId="0" applyFont="1" applyFill="1"/>
    <xf numFmtId="0" fontId="46" fillId="27" borderId="4" xfId="0" applyFont="1" applyFill="1" applyBorder="1"/>
    <xf numFmtId="0" fontId="46" fillId="27" borderId="5" xfId="0" applyFont="1" applyFill="1" applyBorder="1"/>
    <xf numFmtId="0" fontId="46" fillId="27" borderId="5" xfId="0" applyFont="1" applyFill="1" applyBorder="1" applyAlignment="1">
      <alignment wrapText="1"/>
    </xf>
    <xf numFmtId="0" fontId="46" fillId="0" borderId="4" xfId="0" applyFont="1" applyBorder="1"/>
    <xf numFmtId="0" fontId="46" fillId="0" borderId="5" xfId="0" applyFont="1" applyBorder="1"/>
    <xf numFmtId="3" fontId="9" fillId="28" borderId="10" xfId="0" applyNumberFormat="1" applyFont="1" applyFill="1" applyBorder="1"/>
    <xf numFmtId="3" fontId="9" fillId="29" borderId="6" xfId="0" applyNumberFormat="1" applyFont="1" applyFill="1" applyBorder="1"/>
    <xf numFmtId="3" fontId="9" fillId="30" borderId="6" xfId="0" applyNumberFormat="1" applyFont="1" applyFill="1" applyBorder="1"/>
    <xf numFmtId="3" fontId="9" fillId="25" borderId="6" xfId="0" applyNumberFormat="1" applyFont="1" applyFill="1" applyBorder="1"/>
    <xf numFmtId="3" fontId="46" fillId="0" borderId="0" xfId="0" applyNumberFormat="1" applyFont="1"/>
    <xf numFmtId="0" fontId="9" fillId="25" borderId="6" xfId="0" applyFont="1" applyFill="1" applyBorder="1" applyAlignment="1">
      <alignment wrapText="1"/>
    </xf>
    <xf numFmtId="0" fontId="51" fillId="0" borderId="0" xfId="0" applyFont="1"/>
    <xf numFmtId="3" fontId="0" fillId="9" borderId="0" xfId="0" applyNumberFormat="1" applyFill="1"/>
    <xf numFmtId="0" fontId="11" fillId="11" borderId="1" xfId="0" applyFont="1" applyFill="1" applyBorder="1" applyProtection="1">
      <protection locked="0" hidden="1"/>
    </xf>
    <xf numFmtId="0" fontId="54" fillId="0" borderId="0" xfId="12" applyFont="1" applyAlignment="1">
      <alignment vertical="center"/>
    </xf>
    <xf numFmtId="0" fontId="54" fillId="0" borderId="0" xfId="12" applyFont="1" applyAlignment="1">
      <alignment horizontal="center"/>
    </xf>
    <xf numFmtId="0" fontId="3" fillId="0" borderId="0" xfId="12" applyAlignment="1">
      <alignment horizontal="right"/>
    </xf>
    <xf numFmtId="14" fontId="3" fillId="0" borderId="0" xfId="12" applyNumberFormat="1" applyAlignment="1">
      <alignment horizontal="center" vertical="center"/>
    </xf>
    <xf numFmtId="0" fontId="3" fillId="0" borderId="0" xfId="12" applyAlignment="1">
      <alignment horizontal="center"/>
    </xf>
    <xf numFmtId="0" fontId="3" fillId="0" borderId="0" xfId="12"/>
    <xf numFmtId="0" fontId="53" fillId="0" borderId="11" xfId="12" applyFont="1" applyBorder="1" applyAlignment="1">
      <alignment horizontal="center"/>
    </xf>
    <xf numFmtId="0" fontId="53" fillId="0" borderId="14" xfId="12" applyFont="1" applyBorder="1" applyAlignment="1">
      <alignment horizontal="center"/>
    </xf>
    <xf numFmtId="0" fontId="55" fillId="0" borderId="32" xfId="12" applyFont="1" applyBorder="1" applyAlignment="1">
      <alignment horizontal="center" vertical="center"/>
    </xf>
    <xf numFmtId="0" fontId="55" fillId="0" borderId="32" xfId="12" applyFont="1" applyBorder="1" applyAlignment="1">
      <alignment horizontal="left" vertical="center" wrapText="1"/>
    </xf>
    <xf numFmtId="0" fontId="3" fillId="0" borderId="32" xfId="12" applyBorder="1" applyAlignment="1">
      <alignment horizontal="center" vertical="center" wrapText="1"/>
    </xf>
    <xf numFmtId="44" fontId="0" fillId="0" borderId="40" xfId="13" applyFont="1" applyBorder="1" applyAlignment="1">
      <alignment horizontal="center" vertical="center"/>
    </xf>
    <xf numFmtId="44" fontId="0" fillId="0" borderId="32" xfId="13" applyFont="1" applyBorder="1" applyAlignment="1">
      <alignment horizontal="center" vertical="center"/>
    </xf>
    <xf numFmtId="0" fontId="3" fillId="0" borderId="40" xfId="12" applyBorder="1" applyAlignment="1">
      <alignment horizontal="center" vertical="center" wrapText="1"/>
    </xf>
    <xf numFmtId="0" fontId="3" fillId="0" borderId="32" xfId="12" applyBorder="1" applyAlignment="1">
      <alignment horizontal="center" vertical="center"/>
    </xf>
    <xf numFmtId="44" fontId="0" fillId="0" borderId="41" xfId="13" applyFont="1" applyBorder="1" applyAlignment="1">
      <alignment horizontal="center" vertical="center"/>
    </xf>
    <xf numFmtId="44" fontId="0" fillId="0" borderId="33" xfId="13" applyFont="1" applyBorder="1" applyAlignment="1">
      <alignment horizontal="center" vertical="center"/>
    </xf>
    <xf numFmtId="0" fontId="3" fillId="0" borderId="41" xfId="12" applyBorder="1" applyAlignment="1">
      <alignment horizontal="center" vertical="center" wrapText="1"/>
    </xf>
    <xf numFmtId="0" fontId="55" fillId="0" borderId="32" xfId="12" applyFont="1" applyBorder="1" applyAlignment="1">
      <alignment horizontal="left" vertical="top" wrapText="1"/>
    </xf>
    <xf numFmtId="44" fontId="0" fillId="0" borderId="41" xfId="13" applyFont="1" applyFill="1" applyBorder="1" applyAlignment="1">
      <alignment horizontal="center" vertical="center"/>
    </xf>
    <xf numFmtId="44" fontId="0" fillId="0" borderId="33" xfId="13" applyFont="1" applyFill="1" applyBorder="1" applyAlignment="1">
      <alignment horizontal="center" vertical="center"/>
    </xf>
    <xf numFmtId="0" fontId="3" fillId="0" borderId="33" xfId="12" applyBorder="1"/>
    <xf numFmtId="0" fontId="3" fillId="0" borderId="33" xfId="12" applyBorder="1" applyAlignment="1">
      <alignment vertical="center"/>
    </xf>
    <xf numFmtId="0" fontId="3" fillId="0" borderId="33" xfId="12" applyBorder="1" applyAlignment="1">
      <alignment horizontal="center" vertical="center" wrapText="1"/>
    </xf>
    <xf numFmtId="0" fontId="3" fillId="0" borderId="0" xfId="12" applyAlignment="1">
      <alignment horizontal="center" wrapText="1"/>
    </xf>
    <xf numFmtId="0" fontId="3" fillId="0" borderId="33" xfId="12" applyBorder="1" applyAlignment="1">
      <alignment vertical="center" wrapText="1"/>
    </xf>
    <xf numFmtId="0" fontId="3" fillId="0" borderId="33" xfId="12" applyBorder="1" applyAlignment="1">
      <alignment horizontal="left" vertical="center"/>
    </xf>
    <xf numFmtId="0" fontId="3" fillId="0" borderId="33" xfId="12" applyBorder="1" applyAlignment="1">
      <alignment horizontal="center" vertical="center"/>
    </xf>
    <xf numFmtId="0" fontId="3" fillId="6" borderId="41" xfId="12" applyFill="1" applyBorder="1" applyAlignment="1">
      <alignment horizontal="center" vertical="center" wrapText="1"/>
    </xf>
    <xf numFmtId="0" fontId="0" fillId="32" borderId="0" xfId="0" applyFill="1"/>
    <xf numFmtId="0" fontId="52" fillId="32" borderId="0" xfId="0" applyFont="1" applyFill="1"/>
    <xf numFmtId="0" fontId="14" fillId="0" borderId="0" xfId="0" applyFont="1" applyAlignment="1">
      <alignment wrapText="1"/>
    </xf>
    <xf numFmtId="0" fontId="14" fillId="0" borderId="0" xfId="0" applyFont="1"/>
    <xf numFmtId="0" fontId="14" fillId="13" borderId="0" xfId="0" applyFont="1" applyFill="1"/>
    <xf numFmtId="0" fontId="15" fillId="13" borderId="0" xfId="0" applyFont="1" applyFill="1" applyAlignment="1">
      <alignment horizontal="right"/>
    </xf>
    <xf numFmtId="0" fontId="15" fillId="13" borderId="0" xfId="0" applyFont="1" applyFill="1"/>
    <xf numFmtId="3" fontId="0" fillId="21" borderId="0" xfId="0" applyNumberFormat="1" applyFill="1"/>
    <xf numFmtId="3" fontId="0" fillId="36" borderId="0" xfId="0" applyNumberFormat="1" applyFill="1"/>
    <xf numFmtId="0" fontId="0" fillId="15" borderId="0" xfId="0" applyFill="1"/>
    <xf numFmtId="0" fontId="0" fillId="38" borderId="0" xfId="0" applyFill="1"/>
    <xf numFmtId="3" fontId="0" fillId="38" borderId="0" xfId="0" applyNumberFormat="1" applyFill="1"/>
    <xf numFmtId="0" fontId="8" fillId="39" borderId="0" xfId="0" applyFont="1" applyFill="1"/>
    <xf numFmtId="0" fontId="8" fillId="39" borderId="0" xfId="0" applyFont="1" applyFill="1" applyAlignment="1">
      <alignment wrapText="1"/>
    </xf>
    <xf numFmtId="0" fontId="56" fillId="8" borderId="0" xfId="0" applyFont="1" applyFill="1"/>
    <xf numFmtId="0" fontId="8" fillId="34" borderId="0" xfId="0" applyFont="1" applyFill="1"/>
    <xf numFmtId="0" fontId="56" fillId="35" borderId="0" xfId="0" applyFont="1" applyFill="1"/>
    <xf numFmtId="0" fontId="8" fillId="33" borderId="0" xfId="0" applyFont="1" applyFill="1"/>
    <xf numFmtId="0" fontId="56" fillId="33" borderId="0" xfId="0" applyFont="1" applyFill="1" applyAlignment="1">
      <alignment wrapText="1"/>
    </xf>
    <xf numFmtId="0" fontId="8" fillId="33" borderId="0" xfId="0" applyFont="1" applyFill="1" applyAlignment="1">
      <alignment wrapText="1"/>
    </xf>
    <xf numFmtId="3" fontId="8" fillId="33" borderId="0" xfId="0" applyNumberFormat="1" applyFont="1" applyFill="1" applyAlignment="1">
      <alignment wrapText="1"/>
    </xf>
    <xf numFmtId="165" fontId="0" fillId="21" borderId="0" xfId="0" applyNumberFormat="1" applyFill="1"/>
    <xf numFmtId="0" fontId="8" fillId="18" borderId="0" xfId="0" applyFont="1" applyFill="1" applyAlignment="1">
      <alignment wrapText="1"/>
    </xf>
    <xf numFmtId="0" fontId="0" fillId="6" borderId="0" xfId="0" applyFill="1"/>
    <xf numFmtId="3" fontId="0" fillId="6" borderId="0" xfId="0" applyNumberFormat="1" applyFill="1"/>
    <xf numFmtId="0" fontId="14" fillId="6" borderId="0" xfId="0" applyFont="1" applyFill="1"/>
    <xf numFmtId="3" fontId="0" fillId="16" borderId="0" xfId="0" applyNumberFormat="1" applyFill="1"/>
    <xf numFmtId="0" fontId="57" fillId="0" borderId="0" xfId="0" applyFont="1"/>
    <xf numFmtId="3" fontId="0" fillId="0" borderId="0" xfId="0" applyNumberFormat="1"/>
    <xf numFmtId="0" fontId="0" fillId="40" borderId="0" xfId="0" applyFill="1"/>
    <xf numFmtId="0" fontId="8" fillId="18" borderId="0" xfId="0" applyFont="1" applyFill="1"/>
    <xf numFmtId="0" fontId="8" fillId="31" borderId="0" xfId="0" applyFont="1" applyFill="1"/>
    <xf numFmtId="0" fontId="8" fillId="37" borderId="0" xfId="0" applyFont="1" applyFill="1"/>
    <xf numFmtId="0" fontId="8" fillId="8" borderId="0" xfId="0" applyFont="1" applyFill="1" applyAlignment="1">
      <alignment wrapText="1"/>
    </xf>
    <xf numFmtId="0" fontId="0" fillId="0" borderId="0" xfId="0"/>
    <xf numFmtId="0" fontId="8" fillId="0" borderId="0" xfId="0" applyFont="1"/>
    <xf numFmtId="0" fontId="13" fillId="0" borderId="0" xfId="0" applyFont="1" applyAlignment="1">
      <alignment horizontal="right"/>
    </xf>
    <xf numFmtId="2" fontId="0" fillId="0" borderId="0" xfId="947" applyNumberFormat="1" applyFont="1" applyFill="1" applyBorder="1" applyAlignment="1">
      <alignment horizontal="center" vertical="center"/>
    </xf>
    <xf numFmtId="2" fontId="0" fillId="0" borderId="0" xfId="947" applyNumberFormat="1" applyFont="1" applyBorder="1" applyAlignment="1">
      <alignment horizontal="center" vertical="center"/>
    </xf>
    <xf numFmtId="2" fontId="2" fillId="0" borderId="0" xfId="946" applyNumberFormat="1" applyBorder="1" applyAlignment="1">
      <alignment horizontal="center" vertical="center" wrapText="1"/>
    </xf>
    <xf numFmtId="2" fontId="0" fillId="0" borderId="0" xfId="0" applyNumberFormat="1" applyBorder="1" applyAlignment="1">
      <alignment horizontal="center"/>
    </xf>
    <xf numFmtId="0" fontId="10" fillId="41" borderId="12" xfId="0" applyFont="1" applyFill="1" applyBorder="1" applyAlignment="1">
      <alignment horizontal="right"/>
    </xf>
    <xf numFmtId="0" fontId="11" fillId="8" borderId="7" xfId="0" applyFont="1" applyFill="1" applyBorder="1" applyProtection="1">
      <protection locked="0" hidden="1"/>
    </xf>
    <xf numFmtId="0" fontId="11" fillId="0" borderId="0" xfId="0" applyFont="1" applyBorder="1"/>
    <xf numFmtId="2" fontId="26" fillId="42" borderId="0" xfId="0" applyNumberFormat="1" applyFont="1" applyFill="1" applyBorder="1" applyAlignment="1">
      <alignment horizontal="right" wrapText="1"/>
    </xf>
    <xf numFmtId="2" fontId="10" fillId="0" borderId="0" xfId="0" applyNumberFormat="1" applyFont="1" applyBorder="1" applyAlignment="1">
      <alignment horizontal="right"/>
    </xf>
    <xf numFmtId="2" fontId="22" fillId="6" borderId="2" xfId="0" applyNumberFormat="1" applyFont="1" applyFill="1" applyBorder="1" applyAlignment="1">
      <alignment horizontal="right" vertical="center" wrapText="1"/>
    </xf>
    <xf numFmtId="2" fontId="26" fillId="0" borderId="0" xfId="0" applyNumberFormat="1" applyFont="1" applyBorder="1" applyAlignment="1">
      <alignment horizontal="right" wrapText="1"/>
    </xf>
    <xf numFmtId="2" fontId="22" fillId="0" borderId="0" xfId="5" applyNumberFormat="1" applyFont="1" applyFill="1" applyBorder="1" applyAlignment="1">
      <alignment horizontal="right" vertical="center" wrapText="1"/>
    </xf>
    <xf numFmtId="2" fontId="22" fillId="0" borderId="0" xfId="14" applyNumberFormat="1" applyFont="1" applyFill="1" applyBorder="1" applyAlignment="1">
      <alignment horizontal="right" vertical="center" wrapText="1"/>
    </xf>
    <xf numFmtId="2" fontId="22" fillId="6" borderId="0" xfId="14" applyNumberFormat="1" applyFont="1" applyFill="1" applyBorder="1" applyAlignment="1">
      <alignment horizontal="right" vertical="center" wrapText="1"/>
    </xf>
    <xf numFmtId="2" fontId="11" fillId="0" borderId="0" xfId="0" applyNumberFormat="1" applyFont="1"/>
    <xf numFmtId="2" fontId="11" fillId="6" borderId="2" xfId="0" applyNumberFormat="1" applyFont="1" applyFill="1" applyBorder="1" applyAlignment="1">
      <alignment horizontal="right"/>
    </xf>
    <xf numFmtId="2" fontId="22" fillId="0" borderId="0" xfId="10" applyNumberFormat="1" applyFont="1" applyFill="1" applyBorder="1" applyAlignment="1">
      <alignment horizontal="right" vertical="center" wrapText="1"/>
    </xf>
    <xf numFmtId="2" fontId="24" fillId="0" borderId="0" xfId="14" applyNumberFormat="1" applyFont="1" applyFill="1" applyBorder="1" applyAlignment="1">
      <alignment horizontal="right" vertical="center" wrapText="1"/>
    </xf>
    <xf numFmtId="166" fontId="10" fillId="3" borderId="12" xfId="2" applyNumberFormat="1" applyFont="1" applyFill="1" applyBorder="1" applyAlignment="1" applyProtection="1">
      <alignment horizontal="center" vertical="center"/>
      <protection hidden="1"/>
    </xf>
    <xf numFmtId="0" fontId="11" fillId="10" borderId="13" xfId="0" applyFont="1" applyFill="1" applyBorder="1" applyAlignment="1">
      <alignment horizontal="center"/>
    </xf>
    <xf numFmtId="164" fontId="11" fillId="10" borderId="7" xfId="0" applyNumberFormat="1" applyFont="1" applyFill="1" applyBorder="1" applyAlignment="1" applyProtection="1">
      <alignment horizontal="right"/>
      <protection locked="0" hidden="1"/>
    </xf>
    <xf numFmtId="10" fontId="11" fillId="10" borderId="23" xfId="0" applyNumberFormat="1" applyFont="1" applyFill="1" applyBorder="1" applyAlignment="1" applyProtection="1">
      <alignment horizontal="center"/>
      <protection locked="0" hidden="1"/>
    </xf>
    <xf numFmtId="0" fontId="11" fillId="10" borderId="1" xfId="0" applyFont="1" applyFill="1" applyBorder="1" applyAlignment="1" applyProtection="1">
      <alignment horizontal="center"/>
      <protection locked="0" hidden="1"/>
    </xf>
    <xf numFmtId="10" fontId="11" fillId="44" borderId="23" xfId="0" applyNumberFormat="1" applyFont="1" applyFill="1" applyBorder="1" applyAlignment="1" applyProtection="1">
      <alignment horizontal="center"/>
    </xf>
    <xf numFmtId="0" fontId="11" fillId="44" borderId="1" xfId="0" applyFont="1" applyFill="1" applyBorder="1" applyAlignment="1" applyProtection="1">
      <alignment horizontal="center"/>
    </xf>
    <xf numFmtId="10" fontId="11" fillId="45" borderId="23" xfId="0" applyNumberFormat="1" applyFont="1" applyFill="1" applyBorder="1" applyAlignment="1" applyProtection="1">
      <alignment horizontal="center"/>
    </xf>
    <xf numFmtId="0" fontId="11" fillId="45" borderId="1" xfId="0" applyFont="1" applyFill="1" applyBorder="1" applyAlignment="1" applyProtection="1">
      <alignment horizontal="center"/>
    </xf>
    <xf numFmtId="10" fontId="11" fillId="45" borderId="23" xfId="0" applyNumberFormat="1" applyFont="1" applyFill="1" applyBorder="1" applyAlignment="1" applyProtection="1">
      <alignment horizontal="center"/>
      <protection locked="0" hidden="1"/>
    </xf>
    <xf numFmtId="0" fontId="11" fillId="45" borderId="1" xfId="0" applyFont="1" applyFill="1" applyBorder="1" applyAlignment="1" applyProtection="1">
      <alignment horizontal="center"/>
      <protection locked="0" hidden="1"/>
    </xf>
    <xf numFmtId="10" fontId="11" fillId="45" borderId="23" xfId="0" applyNumberFormat="1" applyFont="1" applyFill="1" applyBorder="1" applyAlignment="1" applyProtection="1">
      <alignment horizontal="center"/>
      <protection hidden="1"/>
    </xf>
    <xf numFmtId="0" fontId="11" fillId="45" borderId="1" xfId="0" applyFont="1" applyFill="1" applyBorder="1" applyAlignment="1" applyProtection="1">
      <alignment horizontal="center"/>
      <protection hidden="1"/>
    </xf>
    <xf numFmtId="10" fontId="11" fillId="45" borderId="23" xfId="0" applyNumberFormat="1" applyFont="1" applyFill="1" applyBorder="1" applyAlignment="1" applyProtection="1">
      <alignment horizontal="center"/>
      <protection locked="0"/>
    </xf>
    <xf numFmtId="0" fontId="11" fillId="45" borderId="1" xfId="0" applyFont="1" applyFill="1" applyBorder="1" applyAlignment="1" applyProtection="1">
      <alignment horizontal="center"/>
      <protection locked="0"/>
    </xf>
    <xf numFmtId="164" fontId="11" fillId="45" borderId="8" xfId="0" applyNumberFormat="1" applyFont="1" applyFill="1" applyBorder="1" applyAlignment="1" applyProtection="1">
      <alignment horizontal="right"/>
      <protection locked="0" hidden="1"/>
    </xf>
    <xf numFmtId="164" fontId="11" fillId="4" borderId="8" xfId="0" applyNumberFormat="1" applyFont="1" applyFill="1" applyBorder="1" applyAlignment="1" applyProtection="1">
      <alignment horizontal="right"/>
      <protection locked="0" hidden="1"/>
    </xf>
    <xf numFmtId="164" fontId="11" fillId="2" borderId="27" xfId="0" applyNumberFormat="1" applyFont="1" applyFill="1" applyBorder="1" applyAlignment="1" applyProtection="1">
      <alignment horizontal="right"/>
      <protection locked="0" hidden="1"/>
    </xf>
    <xf numFmtId="166" fontId="11" fillId="2" borderId="44" xfId="0" applyNumberFormat="1" applyFont="1" applyFill="1" applyBorder="1" applyProtection="1">
      <protection locked="0" hidden="1"/>
    </xf>
    <xf numFmtId="166" fontId="11" fillId="2" borderId="46" xfId="0" applyNumberFormat="1" applyFont="1" applyFill="1" applyBorder="1" applyProtection="1">
      <protection locked="0" hidden="1"/>
    </xf>
    <xf numFmtId="166" fontId="11" fillId="2" borderId="49" xfId="0" applyNumberFormat="1" applyFont="1" applyFill="1" applyBorder="1" applyProtection="1">
      <protection locked="0" hidden="1"/>
    </xf>
    <xf numFmtId="164" fontId="11" fillId="2" borderId="54" xfId="0" applyNumberFormat="1" applyFont="1" applyFill="1" applyBorder="1" applyAlignment="1" applyProtection="1">
      <alignment horizontal="right"/>
      <protection locked="0" hidden="1"/>
    </xf>
    <xf numFmtId="164" fontId="11" fillId="2" borderId="4" xfId="0" applyNumberFormat="1" applyFont="1" applyFill="1" applyBorder="1" applyAlignment="1" applyProtection="1">
      <alignment horizontal="right"/>
      <protection locked="0" hidden="1"/>
    </xf>
    <xf numFmtId="164" fontId="11" fillId="44" borderId="8" xfId="0" applyNumberFormat="1" applyFont="1" applyFill="1" applyBorder="1" applyAlignment="1" applyProtection="1">
      <alignment horizontal="right"/>
    </xf>
    <xf numFmtId="164" fontId="11" fillId="45" borderId="8" xfId="0" applyNumberFormat="1" applyFont="1" applyFill="1" applyBorder="1" applyAlignment="1" applyProtection="1">
      <alignment horizontal="right"/>
    </xf>
    <xf numFmtId="164" fontId="11" fillId="45" borderId="48" xfId="0" applyNumberFormat="1" applyFont="1" applyFill="1" applyBorder="1" applyAlignment="1" applyProtection="1">
      <alignment horizontal="right"/>
    </xf>
    <xf numFmtId="166" fontId="11" fillId="45" borderId="51" xfId="0" applyNumberFormat="1" applyFont="1" applyFill="1" applyBorder="1" applyProtection="1"/>
    <xf numFmtId="166" fontId="11" fillId="45" borderId="55" xfId="0" applyNumberFormat="1" applyFont="1" applyFill="1" applyBorder="1" applyProtection="1"/>
    <xf numFmtId="164" fontId="11" fillId="45" borderId="8" xfId="0" applyNumberFormat="1" applyFont="1" applyFill="1" applyBorder="1" applyAlignment="1" applyProtection="1">
      <alignment horizontal="right"/>
      <protection hidden="1"/>
    </xf>
    <xf numFmtId="164" fontId="11" fillId="45" borderId="8" xfId="0" applyNumberFormat="1" applyFont="1" applyFill="1" applyBorder="1" applyAlignment="1" applyProtection="1">
      <alignment horizontal="right"/>
      <protection locked="0"/>
    </xf>
    <xf numFmtId="164" fontId="11" fillId="2" borderId="2" xfId="0" applyNumberFormat="1" applyFont="1" applyFill="1" applyBorder="1" applyAlignment="1" applyProtection="1">
      <alignment horizontal="right"/>
      <protection locked="0" hidden="1"/>
    </xf>
    <xf numFmtId="0" fontId="0" fillId="6" borderId="0" xfId="0" applyFill="1" applyAlignment="1">
      <alignment horizontal="center"/>
    </xf>
    <xf numFmtId="0" fontId="8" fillId="46" borderId="0" xfId="0" applyFont="1" applyFill="1" applyBorder="1" applyAlignment="1">
      <alignment horizontal="center"/>
    </xf>
    <xf numFmtId="0" fontId="8" fillId="46" borderId="61" xfId="0" applyFont="1" applyFill="1" applyBorder="1"/>
    <xf numFmtId="0" fontId="0" fillId="46" borderId="62" xfId="0" applyFill="1" applyBorder="1"/>
    <xf numFmtId="0" fontId="8" fillId="46" borderId="64" xfId="0" applyFont="1" applyFill="1" applyBorder="1"/>
    <xf numFmtId="0" fontId="8" fillId="46" borderId="65" xfId="0" applyFont="1" applyFill="1" applyBorder="1" applyAlignment="1">
      <alignment horizontal="center"/>
    </xf>
    <xf numFmtId="0" fontId="8" fillId="46" borderId="66" xfId="0" applyFont="1" applyFill="1" applyBorder="1" applyAlignment="1">
      <alignment horizontal="right"/>
    </xf>
    <xf numFmtId="165" fontId="8" fillId="46" borderId="67" xfId="0" applyNumberFormat="1" applyFont="1" applyFill="1" applyBorder="1" applyAlignment="1">
      <alignment horizontal="center"/>
    </xf>
    <xf numFmtId="165" fontId="8" fillId="46" borderId="68" xfId="0" applyNumberFormat="1" applyFont="1" applyFill="1" applyBorder="1" applyAlignment="1">
      <alignment horizontal="center"/>
    </xf>
    <xf numFmtId="0" fontId="9" fillId="3" borderId="11" xfId="0" applyFont="1" applyFill="1" applyBorder="1" applyAlignment="1" applyProtection="1">
      <alignment vertical="center"/>
    </xf>
    <xf numFmtId="0" fontId="8" fillId="3" borderId="12" xfId="0" applyFont="1" applyFill="1" applyBorder="1" applyAlignment="1" applyProtection="1">
      <alignment horizontal="right" vertical="center"/>
    </xf>
    <xf numFmtId="5" fontId="8" fillId="3" borderId="12" xfId="0" applyNumberFormat="1" applyFont="1" applyFill="1" applyBorder="1" applyAlignment="1" applyProtection="1">
      <alignment vertical="center"/>
    </xf>
    <xf numFmtId="166" fontId="10" fillId="3" borderId="12" xfId="2" applyNumberFormat="1" applyFont="1" applyFill="1" applyBorder="1" applyAlignment="1" applyProtection="1">
      <alignment horizontal="right" vertical="center"/>
    </xf>
    <xf numFmtId="49" fontId="13" fillId="5" borderId="10" xfId="0" applyNumberFormat="1" applyFont="1" applyFill="1" applyBorder="1" applyAlignment="1" applyProtection="1">
      <alignment horizontal="center"/>
    </xf>
    <xf numFmtId="49" fontId="11" fillId="3" borderId="26" xfId="0" applyNumberFormat="1" applyFont="1" applyFill="1" applyBorder="1" applyAlignment="1" applyProtection="1">
      <alignment horizontal="center"/>
    </xf>
    <xf numFmtId="0" fontId="18" fillId="0" borderId="0" xfId="0" applyFont="1" applyAlignment="1" applyProtection="1">
      <alignment horizontal="left" vertical="center"/>
    </xf>
    <xf numFmtId="49" fontId="11" fillId="10" borderId="26" xfId="0" applyNumberFormat="1" applyFont="1" applyFill="1" applyBorder="1" applyAlignment="1" applyProtection="1">
      <alignment horizontal="center"/>
    </xf>
    <xf numFmtId="0" fontId="18" fillId="10" borderId="0" xfId="0" applyFont="1" applyFill="1" applyAlignment="1" applyProtection="1">
      <alignment horizontal="left" vertical="center"/>
    </xf>
    <xf numFmtId="0" fontId="18" fillId="6" borderId="0" xfId="0" applyFont="1" applyFill="1" applyAlignment="1" applyProtection="1">
      <alignment horizontal="left" vertical="center"/>
    </xf>
    <xf numFmtId="0" fontId="18" fillId="6" borderId="0" xfId="0" applyFont="1" applyFill="1" applyAlignment="1" applyProtection="1">
      <alignment horizontal="left" vertical="center" wrapText="1"/>
    </xf>
    <xf numFmtId="49" fontId="11" fillId="3" borderId="42" xfId="0" applyNumberFormat="1" applyFont="1" applyFill="1" applyBorder="1" applyAlignment="1" applyProtection="1">
      <alignment horizontal="center"/>
    </xf>
    <xf numFmtId="0" fontId="18" fillId="6" borderId="0" xfId="0" applyFont="1" applyFill="1" applyAlignment="1" applyProtection="1">
      <alignment vertical="center"/>
    </xf>
    <xf numFmtId="49" fontId="11" fillId="3" borderId="43" xfId="0" applyNumberFormat="1" applyFont="1" applyFill="1" applyBorder="1" applyAlignment="1" applyProtection="1">
      <alignment horizontal="center"/>
    </xf>
    <xf numFmtId="49" fontId="11" fillId="3" borderId="47" xfId="0" applyNumberFormat="1" applyFont="1" applyFill="1" applyBorder="1" applyAlignment="1" applyProtection="1">
      <alignment horizontal="center"/>
    </xf>
    <xf numFmtId="0" fontId="18" fillId="6" borderId="21" xfId="0" applyFont="1" applyFill="1" applyBorder="1" applyAlignment="1" applyProtection="1">
      <alignment horizontal="left" vertical="center" wrapText="1"/>
    </xf>
    <xf numFmtId="49" fontId="11" fillId="3" borderId="50" xfId="0" applyNumberFormat="1" applyFont="1" applyFill="1" applyBorder="1" applyAlignment="1" applyProtection="1">
      <alignment horizontal="center"/>
    </xf>
    <xf numFmtId="0" fontId="18" fillId="6" borderId="0" xfId="0" applyFont="1" applyFill="1" applyBorder="1" applyAlignment="1" applyProtection="1">
      <alignment horizontal="left" vertical="center" wrapText="1"/>
    </xf>
    <xf numFmtId="49" fontId="11" fillId="3" borderId="52" xfId="0" applyNumberFormat="1" applyFont="1" applyFill="1" applyBorder="1" applyAlignment="1" applyProtection="1">
      <alignment horizontal="center"/>
    </xf>
    <xf numFmtId="0" fontId="18" fillId="6" borderId="53" xfId="0" applyFont="1" applyFill="1" applyBorder="1" applyAlignment="1" applyProtection="1">
      <alignment horizontal="left" vertical="center" wrapText="1"/>
    </xf>
    <xf numFmtId="49" fontId="11" fillId="3" borderId="45" xfId="0" applyNumberFormat="1" applyFont="1" applyFill="1" applyBorder="1" applyAlignment="1" applyProtection="1">
      <alignment horizontal="center"/>
    </xf>
    <xf numFmtId="0" fontId="18" fillId="6" borderId="0" xfId="4" applyFont="1" applyFill="1" applyAlignment="1" applyProtection="1">
      <alignment horizontal="left" vertical="center" wrapText="1"/>
    </xf>
    <xf numFmtId="0" fontId="18" fillId="6" borderId="0" xfId="4" applyFont="1" applyFill="1" applyBorder="1" applyAlignment="1" applyProtection="1">
      <alignment horizontal="left" vertical="center" wrapText="1"/>
    </xf>
    <xf numFmtId="0" fontId="18" fillId="6" borderId="53" xfId="4" applyFont="1" applyFill="1" applyBorder="1" applyAlignment="1" applyProtection="1">
      <alignment horizontal="left" vertical="center" wrapText="1"/>
    </xf>
    <xf numFmtId="0" fontId="18" fillId="6" borderId="21" xfId="4" applyFont="1" applyFill="1" applyBorder="1" applyAlignment="1" applyProtection="1">
      <alignment horizontal="left" vertical="center" wrapText="1"/>
    </xf>
    <xf numFmtId="0" fontId="18" fillId="6" borderId="20" xfId="4" applyFont="1" applyFill="1" applyBorder="1" applyAlignment="1" applyProtection="1">
      <alignment horizontal="left" vertical="center" wrapText="1"/>
    </xf>
    <xf numFmtId="0" fontId="18" fillId="6" borderId="18" xfId="4" applyFont="1" applyFill="1" applyBorder="1" applyAlignment="1" applyProtection="1">
      <alignment horizontal="left" vertical="center" wrapText="1"/>
    </xf>
    <xf numFmtId="0" fontId="18" fillId="6" borderId="38" xfId="4" applyFont="1" applyFill="1" applyBorder="1" applyAlignment="1" applyProtection="1">
      <alignment horizontal="left" vertical="center" wrapText="1"/>
    </xf>
    <xf numFmtId="0" fontId="18" fillId="6" borderId="0" xfId="4" applyFont="1" applyFill="1" applyAlignment="1" applyProtection="1">
      <alignment horizontal="left" vertical="top" wrapText="1"/>
    </xf>
    <xf numFmtId="49" fontId="11" fillId="3" borderId="57" xfId="0" applyNumberFormat="1" applyFont="1" applyFill="1" applyBorder="1" applyAlignment="1" applyProtection="1">
      <alignment horizontal="center"/>
    </xf>
    <xf numFmtId="49" fontId="11" fillId="3" borderId="58" xfId="0" applyNumberFormat="1" applyFont="1" applyFill="1" applyBorder="1" applyAlignment="1" applyProtection="1">
      <alignment horizontal="center"/>
    </xf>
    <xf numFmtId="49" fontId="11" fillId="3" borderId="59" xfId="0" applyNumberFormat="1" applyFont="1" applyFill="1" applyBorder="1" applyAlignment="1" applyProtection="1">
      <alignment horizontal="center"/>
    </xf>
    <xf numFmtId="0" fontId="19" fillId="6" borderId="0" xfId="4" applyFont="1" applyFill="1" applyAlignment="1" applyProtection="1">
      <alignment horizontal="left" vertical="center" wrapText="1"/>
    </xf>
    <xf numFmtId="0" fontId="19" fillId="6" borderId="0" xfId="0" applyFont="1" applyFill="1" applyAlignment="1" applyProtection="1">
      <alignment horizontal="left" vertical="center"/>
    </xf>
    <xf numFmtId="0" fontId="18" fillId="0" borderId="0" xfId="0" applyFont="1" applyAlignment="1" applyProtection="1">
      <alignment horizontal="left" vertical="center" wrapText="1"/>
    </xf>
    <xf numFmtId="166" fontId="11" fillId="10" borderId="23" xfId="0" applyNumberFormat="1" applyFont="1" applyFill="1" applyBorder="1" applyProtection="1"/>
    <xf numFmtId="49" fontId="11" fillId="3" borderId="69" xfId="0" applyNumberFormat="1" applyFont="1" applyFill="1" applyBorder="1" applyAlignment="1" applyProtection="1">
      <alignment horizontal="center"/>
    </xf>
    <xf numFmtId="49" fontId="11" fillId="3" borderId="70" xfId="0" applyNumberFormat="1" applyFont="1" applyFill="1" applyBorder="1" applyAlignment="1" applyProtection="1">
      <alignment horizontal="center"/>
    </xf>
    <xf numFmtId="49" fontId="11" fillId="3" borderId="71" xfId="0" applyNumberFormat="1" applyFont="1" applyFill="1" applyBorder="1" applyAlignment="1" applyProtection="1">
      <alignment horizontal="center"/>
    </xf>
    <xf numFmtId="49" fontId="11" fillId="3" borderId="1" xfId="0" applyNumberFormat="1" applyFont="1" applyFill="1" applyBorder="1" applyAlignment="1" applyProtection="1">
      <alignment horizontal="center"/>
    </xf>
    <xf numFmtId="166" fontId="11" fillId="2" borderId="1" xfId="0" applyNumberFormat="1" applyFont="1" applyFill="1" applyBorder="1" applyProtection="1">
      <protection locked="0" hidden="1"/>
    </xf>
    <xf numFmtId="164" fontId="11" fillId="2" borderId="48" xfId="0" applyNumberFormat="1" applyFont="1" applyFill="1" applyBorder="1" applyAlignment="1" applyProtection="1">
      <alignment horizontal="right"/>
      <protection locked="0" hidden="1"/>
    </xf>
    <xf numFmtId="166" fontId="11" fillId="2" borderId="51" xfId="0" applyNumberFormat="1" applyFont="1" applyFill="1" applyBorder="1" applyProtection="1">
      <protection locked="0" hidden="1"/>
    </xf>
    <xf numFmtId="0" fontId="19" fillId="6" borderId="0" xfId="14" applyFont="1" applyFill="1" applyBorder="1" applyAlignment="1" applyProtection="1">
      <alignment horizontal="left" vertical="top" wrapText="1"/>
    </xf>
    <xf numFmtId="0" fontId="18" fillId="6" borderId="0" xfId="4" applyFont="1" applyFill="1" applyBorder="1" applyAlignment="1" applyProtection="1">
      <alignment horizontal="left" vertical="top" wrapText="1"/>
    </xf>
    <xf numFmtId="49" fontId="11" fillId="3" borderId="72" xfId="0" applyNumberFormat="1" applyFont="1" applyFill="1" applyBorder="1" applyAlignment="1" applyProtection="1">
      <alignment horizontal="center"/>
    </xf>
    <xf numFmtId="0" fontId="18" fillId="6" borderId="62" xfId="0" applyFont="1" applyFill="1" applyBorder="1" applyAlignment="1" applyProtection="1">
      <alignment horizontal="left" vertical="center" wrapText="1"/>
    </xf>
    <xf numFmtId="166" fontId="11" fillId="2" borderId="74" xfId="0" applyNumberFormat="1" applyFont="1" applyFill="1" applyBorder="1" applyProtection="1">
      <protection locked="0" hidden="1"/>
    </xf>
    <xf numFmtId="49" fontId="11" fillId="3" borderId="75" xfId="0" applyNumberFormat="1" applyFont="1" applyFill="1" applyBorder="1" applyAlignment="1" applyProtection="1">
      <alignment horizontal="center"/>
    </xf>
    <xf numFmtId="49" fontId="11" fillId="3" borderId="77" xfId="0" applyNumberFormat="1" applyFont="1" applyFill="1" applyBorder="1" applyAlignment="1" applyProtection="1">
      <alignment horizontal="center"/>
    </xf>
    <xf numFmtId="0" fontId="18" fillId="6" borderId="67" xfId="0" applyFont="1" applyFill="1" applyBorder="1" applyAlignment="1" applyProtection="1">
      <alignment horizontal="left" vertical="center" wrapText="1"/>
    </xf>
    <xf numFmtId="164" fontId="11" fillId="2" borderId="78" xfId="0" applyNumberFormat="1" applyFont="1" applyFill="1" applyBorder="1" applyAlignment="1" applyProtection="1">
      <alignment horizontal="right"/>
      <protection locked="0" hidden="1"/>
    </xf>
    <xf numFmtId="49" fontId="11" fillId="3" borderId="80" xfId="0" applyNumberFormat="1" applyFont="1" applyFill="1" applyBorder="1" applyAlignment="1" applyProtection="1">
      <alignment horizontal="center"/>
    </xf>
    <xf numFmtId="166" fontId="11" fillId="2" borderId="81" xfId="0" applyNumberFormat="1" applyFont="1" applyFill="1" applyBorder="1" applyProtection="1">
      <protection locked="0" hidden="1"/>
    </xf>
    <xf numFmtId="164" fontId="11" fillId="44" borderId="73" xfId="0" applyNumberFormat="1" applyFont="1" applyFill="1" applyBorder="1" applyAlignment="1" applyProtection="1">
      <alignment horizontal="right"/>
    </xf>
    <xf numFmtId="166" fontId="11" fillId="44" borderId="76" xfId="0" applyNumberFormat="1" applyFont="1" applyFill="1" applyBorder="1" applyProtection="1"/>
    <xf numFmtId="0" fontId="18" fillId="6" borderId="67" xfId="4" applyFont="1" applyFill="1" applyBorder="1" applyAlignment="1" applyProtection="1">
      <alignment horizontal="left" vertical="center" wrapText="1"/>
    </xf>
    <xf numFmtId="166" fontId="11" fillId="44" borderId="79" xfId="0" applyNumberFormat="1" applyFont="1" applyFill="1" applyBorder="1" applyProtection="1"/>
    <xf numFmtId="49" fontId="11" fillId="3" borderId="82" xfId="0" applyNumberFormat="1" applyFont="1" applyFill="1" applyBorder="1" applyAlignment="1" applyProtection="1">
      <alignment horizontal="center"/>
    </xf>
    <xf numFmtId="164" fontId="11" fillId="45" borderId="4" xfId="0" applyNumberFormat="1" applyFont="1" applyFill="1" applyBorder="1" applyAlignment="1" applyProtection="1">
      <alignment horizontal="right"/>
    </xf>
    <xf numFmtId="49" fontId="11" fillId="3" borderId="83" xfId="0" applyNumberFormat="1" applyFont="1" applyFill="1" applyBorder="1" applyAlignment="1" applyProtection="1">
      <alignment horizontal="center"/>
    </xf>
    <xf numFmtId="0" fontId="18" fillId="6" borderId="62" xfId="4" applyFont="1" applyFill="1" applyBorder="1" applyAlignment="1" applyProtection="1">
      <alignment horizontal="left" vertical="center" wrapText="1"/>
    </xf>
    <xf numFmtId="49" fontId="11" fillId="3" borderId="85" xfId="0" applyNumberFormat="1" applyFont="1" applyFill="1" applyBorder="1" applyAlignment="1" applyProtection="1">
      <alignment horizontal="center"/>
    </xf>
    <xf numFmtId="49" fontId="11" fillId="3" borderId="87" xfId="0" applyNumberFormat="1" applyFont="1" applyFill="1" applyBorder="1" applyAlignment="1" applyProtection="1">
      <alignment horizontal="center"/>
    </xf>
    <xf numFmtId="49" fontId="11" fillId="3" borderId="89" xfId="0" applyNumberFormat="1" applyFont="1" applyFill="1" applyBorder="1" applyAlignment="1" applyProtection="1">
      <alignment horizontal="center"/>
    </xf>
    <xf numFmtId="166" fontId="11" fillId="2" borderId="90" xfId="0" applyNumberFormat="1" applyFont="1" applyFill="1" applyBorder="1" applyProtection="1">
      <protection locked="0" hidden="1"/>
    </xf>
    <xf numFmtId="0" fontId="19" fillId="6" borderId="62" xfId="14" applyFont="1" applyFill="1" applyBorder="1" applyAlignment="1" applyProtection="1">
      <alignment horizontal="left" vertical="top" wrapText="1"/>
    </xf>
    <xf numFmtId="0" fontId="19" fillId="6" borderId="67" xfId="14" applyFont="1" applyFill="1" applyBorder="1" applyAlignment="1" applyProtection="1">
      <alignment horizontal="left" vertical="top" wrapText="1"/>
    </xf>
    <xf numFmtId="164" fontId="11" fillId="45" borderId="73" xfId="0" applyNumberFormat="1" applyFont="1" applyFill="1" applyBorder="1" applyAlignment="1" applyProtection="1">
      <alignment horizontal="right"/>
    </xf>
    <xf numFmtId="166" fontId="11" fillId="45" borderId="76" xfId="0" applyNumberFormat="1" applyFont="1" applyFill="1" applyBorder="1" applyProtection="1"/>
    <xf numFmtId="49" fontId="11" fillId="3" borderId="91" xfId="0" applyNumberFormat="1" applyFont="1" applyFill="1" applyBorder="1" applyAlignment="1" applyProtection="1">
      <alignment horizontal="center"/>
    </xf>
    <xf numFmtId="166" fontId="11" fillId="45" borderId="92" xfId="0" applyNumberFormat="1" applyFont="1" applyFill="1" applyBorder="1" applyProtection="1"/>
    <xf numFmtId="166" fontId="11" fillId="45" borderId="79" xfId="0" applyNumberFormat="1" applyFont="1" applyFill="1" applyBorder="1" applyProtection="1"/>
    <xf numFmtId="49" fontId="11" fillId="3" borderId="93" xfId="0" applyNumberFormat="1" applyFont="1" applyFill="1" applyBorder="1" applyAlignment="1" applyProtection="1">
      <alignment horizontal="center"/>
    </xf>
    <xf numFmtId="166" fontId="11" fillId="2" borderId="94" xfId="0" applyNumberFormat="1" applyFont="1" applyFill="1" applyBorder="1" applyProtection="1">
      <protection locked="0" hidden="1"/>
    </xf>
    <xf numFmtId="49" fontId="11" fillId="3" borderId="95" xfId="0" applyNumberFormat="1" applyFont="1" applyFill="1" applyBorder="1" applyAlignment="1" applyProtection="1">
      <alignment horizontal="center"/>
    </xf>
    <xf numFmtId="166" fontId="11" fillId="45" borderId="96" xfId="0" applyNumberFormat="1" applyFont="1" applyFill="1" applyBorder="1" applyProtection="1"/>
    <xf numFmtId="49" fontId="11" fillId="3" borderId="97" xfId="0" applyNumberFormat="1" applyFont="1" applyFill="1" applyBorder="1" applyAlignment="1" applyProtection="1">
      <alignment horizontal="center"/>
    </xf>
    <xf numFmtId="0" fontId="22" fillId="45" borderId="84" xfId="14" applyFont="1" applyFill="1" applyBorder="1" applyAlignment="1" applyProtection="1">
      <alignment horizontal="left" vertical="top" wrapText="1"/>
    </xf>
    <xf numFmtId="49" fontId="11" fillId="3" borderId="98" xfId="0" applyNumberFormat="1" applyFont="1" applyFill="1" applyBorder="1" applyAlignment="1" applyProtection="1">
      <alignment horizontal="center"/>
    </xf>
    <xf numFmtId="166" fontId="11" fillId="2" borderId="56" xfId="0" applyNumberFormat="1" applyFont="1" applyFill="1" applyBorder="1" applyProtection="1">
      <protection locked="0" hidden="1"/>
    </xf>
    <xf numFmtId="49" fontId="11" fillId="3" borderId="99" xfId="0" applyNumberFormat="1" applyFont="1" applyFill="1" applyBorder="1" applyAlignment="1" applyProtection="1">
      <alignment horizontal="center"/>
    </xf>
    <xf numFmtId="49" fontId="11" fillId="3" borderId="100" xfId="0" applyNumberFormat="1" applyFont="1" applyFill="1" applyBorder="1" applyAlignment="1" applyProtection="1">
      <alignment horizontal="center"/>
    </xf>
    <xf numFmtId="49" fontId="11" fillId="3" borderId="101" xfId="0" applyNumberFormat="1" applyFont="1" applyFill="1" applyBorder="1" applyAlignment="1" applyProtection="1">
      <alignment horizontal="center"/>
    </xf>
    <xf numFmtId="49" fontId="11" fillId="3" borderId="102" xfId="0" applyNumberFormat="1" applyFont="1" applyFill="1" applyBorder="1" applyAlignment="1" applyProtection="1">
      <alignment horizontal="center"/>
    </xf>
    <xf numFmtId="0" fontId="8" fillId="0" borderId="0" xfId="0" applyFont="1" applyAlignment="1">
      <alignment horizontal="center" vertical="center"/>
    </xf>
    <xf numFmtId="0" fontId="8" fillId="46" borderId="62" xfId="0" applyFont="1" applyFill="1" applyBorder="1" applyAlignment="1">
      <alignment horizontal="right"/>
    </xf>
    <xf numFmtId="0" fontId="8" fillId="46" borderId="63" xfId="0" applyFont="1" applyFill="1" applyBorder="1" applyAlignment="1">
      <alignment horizontal="center"/>
    </xf>
    <xf numFmtId="0" fontId="8" fillId="46" borderId="64" xfId="0" applyFont="1" applyFill="1" applyBorder="1" applyAlignment="1">
      <alignment horizontal="right"/>
    </xf>
    <xf numFmtId="0" fontId="8" fillId="41" borderId="0" xfId="0" applyFont="1" applyFill="1" applyProtection="1"/>
    <xf numFmtId="0" fontId="8" fillId="41" borderId="103" xfId="0" applyFont="1" applyFill="1" applyBorder="1" applyAlignment="1">
      <alignment horizontal="center"/>
    </xf>
    <xf numFmtId="49" fontId="10" fillId="41" borderId="104" xfId="0" applyNumberFormat="1" applyFont="1" applyFill="1" applyBorder="1" applyAlignment="1">
      <alignment horizontal="right"/>
    </xf>
    <xf numFmtId="0" fontId="10" fillId="41" borderId="105" xfId="0" applyFont="1" applyFill="1" applyBorder="1" applyAlignment="1">
      <alignment horizontal="right"/>
    </xf>
    <xf numFmtId="0" fontId="10" fillId="15" borderId="105" xfId="0" applyFont="1" applyFill="1" applyBorder="1" applyAlignment="1">
      <alignment horizontal="right"/>
    </xf>
    <xf numFmtId="0" fontId="0" fillId="41" borderId="62" xfId="0" applyFill="1" applyBorder="1"/>
    <xf numFmtId="0" fontId="0" fillId="41" borderId="63" xfId="0" applyFill="1" applyBorder="1"/>
    <xf numFmtId="0" fontId="0" fillId="41" borderId="64" xfId="0" applyFill="1" applyBorder="1"/>
    <xf numFmtId="0" fontId="0" fillId="41" borderId="0" xfId="0" applyFill="1" applyBorder="1"/>
    <xf numFmtId="0" fontId="0" fillId="41" borderId="65" xfId="0" applyFill="1" applyBorder="1"/>
    <xf numFmtId="0" fontId="8" fillId="41" borderId="64" xfId="0" applyFont="1" applyFill="1" applyBorder="1"/>
    <xf numFmtId="0" fontId="0" fillId="41" borderId="66" xfId="0" applyFill="1" applyBorder="1"/>
    <xf numFmtId="0" fontId="0" fillId="41" borderId="67" xfId="0" applyFill="1" applyBorder="1"/>
    <xf numFmtId="0" fontId="0" fillId="41" borderId="68" xfId="0" applyFill="1" applyBorder="1"/>
    <xf numFmtId="0" fontId="8" fillId="41" borderId="0" xfId="0" applyFont="1" applyFill="1" applyBorder="1" applyAlignment="1">
      <alignment horizontal="right"/>
    </xf>
    <xf numFmtId="0" fontId="8" fillId="41" borderId="64" xfId="0" applyFont="1" applyFill="1" applyBorder="1" applyAlignment="1">
      <alignment horizontal="right"/>
    </xf>
    <xf numFmtId="0" fontId="0" fillId="15" borderId="103" xfId="0" applyFill="1" applyBorder="1" applyAlignment="1">
      <alignment horizontal="center"/>
    </xf>
    <xf numFmtId="165" fontId="0" fillId="15" borderId="0" xfId="0" applyNumberFormat="1" applyFill="1" applyBorder="1"/>
    <xf numFmtId="0" fontId="0" fillId="43" borderId="103" xfId="0" applyFill="1" applyBorder="1" applyAlignment="1" applyProtection="1">
      <alignment horizontal="center"/>
      <protection locked="0"/>
    </xf>
    <xf numFmtId="165" fontId="0" fillId="43" borderId="0" xfId="0" applyNumberFormat="1" applyFill="1" applyBorder="1" applyProtection="1">
      <protection locked="0"/>
    </xf>
    <xf numFmtId="164" fontId="11" fillId="10" borderId="7" xfId="0" applyNumberFormat="1" applyFont="1" applyFill="1" applyBorder="1" applyAlignment="1" applyProtection="1">
      <alignment horizontal="right"/>
    </xf>
    <xf numFmtId="164" fontId="11" fillId="2" borderId="7" xfId="0" applyNumberFormat="1" applyFont="1" applyFill="1" applyBorder="1" applyAlignment="1" applyProtection="1">
      <alignment horizontal="right"/>
      <protection locked="0"/>
    </xf>
    <xf numFmtId="166" fontId="11" fillId="2" borderId="23" xfId="0" applyNumberFormat="1" applyFont="1" applyFill="1" applyBorder="1" applyProtection="1">
      <protection locked="0"/>
    </xf>
    <xf numFmtId="0" fontId="7" fillId="0" borderId="15" xfId="4" applyFont="1" applyBorder="1" applyAlignment="1" applyProtection="1">
      <alignment horizontal="center" vertical="center" wrapText="1"/>
    </xf>
    <xf numFmtId="0" fontId="7" fillId="0" borderId="10" xfId="4" applyFont="1" applyBorder="1" applyAlignment="1" applyProtection="1">
      <alignment horizontal="center"/>
    </xf>
    <xf numFmtId="0" fontId="7" fillId="0" borderId="1" xfId="4" applyFont="1" applyBorder="1" applyAlignment="1" applyProtection="1">
      <alignment horizontal="center"/>
    </xf>
    <xf numFmtId="0" fontId="6" fillId="0" borderId="1" xfId="4" applyBorder="1" applyAlignment="1" applyProtection="1">
      <alignment horizontal="center"/>
    </xf>
    <xf numFmtId="49" fontId="10" fillId="41" borderId="11" xfId="0" applyNumberFormat="1" applyFont="1" applyFill="1" applyBorder="1" applyAlignment="1" applyProtection="1">
      <alignment horizontal="right"/>
    </xf>
    <xf numFmtId="0" fontId="10" fillId="41" borderId="12" xfId="0" applyNumberFormat="1" applyFont="1" applyFill="1" applyBorder="1" applyAlignment="1" applyProtection="1">
      <alignment horizontal="right"/>
    </xf>
    <xf numFmtId="0" fontId="10" fillId="15" borderId="12" xfId="0" applyNumberFormat="1" applyFont="1" applyFill="1" applyBorder="1" applyAlignment="1" applyProtection="1">
      <alignment horizontal="right"/>
    </xf>
    <xf numFmtId="0" fontId="0" fillId="41" borderId="0" xfId="0" applyFill="1" applyProtection="1"/>
    <xf numFmtId="0" fontId="9" fillId="41" borderId="0" xfId="0" applyFont="1" applyFill="1" applyAlignment="1" applyProtection="1">
      <alignment horizontal="right" vertical="center"/>
    </xf>
    <xf numFmtId="0" fontId="9" fillId="41" borderId="0" xfId="0" applyFont="1" applyFill="1" applyAlignment="1" applyProtection="1">
      <alignment horizontal="center" vertical="center"/>
    </xf>
    <xf numFmtId="10" fontId="9" fillId="41" borderId="0" xfId="0" applyNumberFormat="1" applyFont="1" applyFill="1" applyAlignment="1" applyProtection="1">
      <alignment horizontal="center" vertical="center"/>
    </xf>
    <xf numFmtId="0" fontId="7" fillId="0" borderId="34" xfId="4" applyFont="1" applyBorder="1" applyAlignment="1" applyProtection="1">
      <alignment horizontal="center" vertical="center" wrapText="1"/>
    </xf>
    <xf numFmtId="0" fontId="7" fillId="0" borderId="16" xfId="4" applyFont="1" applyBorder="1" applyAlignment="1" applyProtection="1">
      <alignment horizontal="center" vertical="center" wrapText="1"/>
    </xf>
    <xf numFmtId="0" fontId="0" fillId="0" borderId="16" xfId="4" applyFont="1" applyBorder="1" applyAlignment="1" applyProtection="1">
      <alignment horizontal="center" vertical="center" wrapText="1"/>
    </xf>
    <xf numFmtId="167" fontId="22" fillId="6" borderId="0" xfId="0" applyNumberFormat="1" applyFont="1" applyFill="1" applyBorder="1" applyAlignment="1">
      <alignment horizontal="right" vertical="center" wrapText="1"/>
    </xf>
    <xf numFmtId="0" fontId="6" fillId="0" borderId="10" xfId="4" applyBorder="1" applyAlignment="1" applyProtection="1">
      <alignment horizontal="center"/>
      <protection locked="0"/>
    </xf>
    <xf numFmtId="0" fontId="7" fillId="0" borderId="10" xfId="4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9" fillId="6" borderId="2" xfId="0" applyFont="1" applyFill="1" applyBorder="1" applyAlignment="1" applyProtection="1">
      <alignment horizontal="left" vertical="center" wrapText="1"/>
    </xf>
    <xf numFmtId="0" fontId="8" fillId="3" borderId="12" xfId="0" applyFont="1" applyFill="1" applyBorder="1" applyAlignment="1" applyProtection="1">
      <alignment horizontal="center" vertical="center"/>
    </xf>
    <xf numFmtId="0" fontId="19" fillId="0" borderId="7" xfId="0" applyFont="1" applyBorder="1" applyAlignment="1" applyProtection="1">
      <alignment horizontal="center" vertical="top"/>
    </xf>
    <xf numFmtId="164" fontId="11" fillId="2" borderId="8" xfId="0" applyNumberFormat="1" applyFont="1" applyFill="1" applyBorder="1" applyAlignment="1" applyProtection="1">
      <alignment horizontal="right"/>
      <protection locked="0" hidden="1"/>
    </xf>
    <xf numFmtId="0" fontId="13" fillId="5" borderId="4" xfId="0" applyFont="1" applyFill="1" applyBorder="1" applyAlignment="1" applyProtection="1">
      <alignment horizontal="center"/>
    </xf>
    <xf numFmtId="0" fontId="18" fillId="0" borderId="2" xfId="0" applyFont="1" applyBorder="1" applyAlignment="1" applyProtection="1">
      <alignment horizontal="center" vertical="center"/>
    </xf>
    <xf numFmtId="0" fontId="18" fillId="10" borderId="2" xfId="0" applyFont="1" applyFill="1" applyBorder="1" applyAlignment="1" applyProtection="1">
      <alignment horizontal="center" vertical="center"/>
    </xf>
    <xf numFmtId="0" fontId="18" fillId="6" borderId="2" xfId="0" applyFont="1" applyFill="1" applyBorder="1" applyAlignment="1" applyProtection="1">
      <alignment horizontal="center" vertical="center"/>
    </xf>
    <xf numFmtId="0" fontId="18" fillId="6" borderId="2" xfId="0" applyFont="1" applyFill="1" applyBorder="1" applyAlignment="1" applyProtection="1">
      <alignment horizontal="center" vertical="center" wrapText="1"/>
    </xf>
    <xf numFmtId="0" fontId="18" fillId="6" borderId="31" xfId="0" applyFont="1" applyFill="1" applyBorder="1" applyAlignment="1" applyProtection="1">
      <alignment horizontal="center" vertical="center" wrapText="1"/>
    </xf>
    <xf numFmtId="0" fontId="18" fillId="6" borderId="2" xfId="0" applyFont="1" applyFill="1" applyBorder="1" applyAlignment="1" applyProtection="1">
      <alignment horizontal="center" vertical="top" wrapText="1"/>
    </xf>
    <xf numFmtId="0" fontId="18" fillId="6" borderId="107" xfId="0" applyFont="1" applyFill="1" applyBorder="1" applyAlignment="1" applyProtection="1">
      <alignment horizontal="center" vertical="center" wrapText="1"/>
    </xf>
    <xf numFmtId="0" fontId="18" fillId="6" borderId="108" xfId="0" applyFont="1" applyFill="1" applyBorder="1" applyAlignment="1" applyProtection="1">
      <alignment horizontal="center" vertical="center" wrapText="1"/>
    </xf>
    <xf numFmtId="0" fontId="18" fillId="6" borderId="2" xfId="4" applyFont="1" applyFill="1" applyBorder="1" applyAlignment="1" applyProtection="1">
      <alignment horizontal="center" vertical="center" wrapText="1"/>
    </xf>
    <xf numFmtId="0" fontId="18" fillId="6" borderId="109" xfId="4" applyFont="1" applyFill="1" applyBorder="1" applyAlignment="1" applyProtection="1">
      <alignment horizontal="center" vertical="center" wrapText="1"/>
    </xf>
    <xf numFmtId="0" fontId="18" fillId="6" borderId="2" xfId="4" applyFont="1" applyFill="1" applyBorder="1" applyAlignment="1" applyProtection="1">
      <alignment horizontal="center" vertical="top" wrapText="1"/>
    </xf>
    <xf numFmtId="0" fontId="18" fillId="6" borderId="107" xfId="4" applyFont="1" applyFill="1" applyBorder="1" applyAlignment="1" applyProtection="1">
      <alignment horizontal="center" vertical="center" wrapText="1"/>
    </xf>
    <xf numFmtId="0" fontId="18" fillId="6" borderId="109" xfId="0" applyFont="1" applyFill="1" applyBorder="1" applyAlignment="1" applyProtection="1">
      <alignment horizontal="center" vertical="center" wrapText="1"/>
    </xf>
    <xf numFmtId="0" fontId="19" fillId="6" borderId="107" xfId="14" applyFont="1" applyFill="1" applyBorder="1" applyAlignment="1" applyProtection="1">
      <alignment horizontal="center" vertical="top" wrapText="1"/>
    </xf>
    <xf numFmtId="0" fontId="19" fillId="6" borderId="2" xfId="14" applyFont="1" applyFill="1" applyBorder="1" applyAlignment="1" applyProtection="1">
      <alignment horizontal="center" vertical="top" wrapText="1"/>
    </xf>
    <xf numFmtId="0" fontId="19" fillId="6" borderId="2" xfId="4" applyFont="1" applyFill="1" applyBorder="1" applyAlignment="1" applyProtection="1">
      <alignment horizontal="center" vertical="center" wrapText="1"/>
    </xf>
    <xf numFmtId="0" fontId="18" fillId="6" borderId="110" xfId="0" applyFont="1" applyFill="1" applyBorder="1" applyAlignment="1" applyProtection="1">
      <alignment horizontal="center" vertical="center" wrapText="1"/>
    </xf>
    <xf numFmtId="0" fontId="18" fillId="6" borderId="111" xfId="0" applyFont="1" applyFill="1" applyBorder="1" applyAlignment="1" applyProtection="1">
      <alignment horizontal="center" vertical="center" wrapText="1"/>
    </xf>
    <xf numFmtId="0" fontId="18" fillId="0" borderId="2" xfId="0" applyFont="1" applyBorder="1" applyAlignment="1" applyProtection="1">
      <alignment horizontal="center" vertical="center" wrapText="1"/>
    </xf>
    <xf numFmtId="0" fontId="19" fillId="6" borderId="2" xfId="0" applyFont="1" applyFill="1" applyBorder="1" applyAlignment="1" applyProtection="1">
      <alignment horizontal="center" vertical="center"/>
    </xf>
    <xf numFmtId="0" fontId="55" fillId="0" borderId="5" xfId="12" applyFont="1" applyBorder="1" applyAlignment="1">
      <alignment horizontal="center" vertical="center" wrapText="1"/>
    </xf>
    <xf numFmtId="0" fontId="55" fillId="0" borderId="5" xfId="12" applyFont="1" applyBorder="1" applyAlignment="1">
      <alignment horizontal="center" vertical="top" wrapText="1"/>
    </xf>
    <xf numFmtId="0" fontId="3" fillId="0" borderId="8" xfId="12" applyBorder="1" applyAlignment="1">
      <alignment horizontal="center" vertical="center"/>
    </xf>
    <xf numFmtId="0" fontId="8" fillId="3" borderId="12" xfId="0" applyFont="1" applyFill="1" applyBorder="1" applyAlignment="1" applyProtection="1">
      <alignment horizontal="center" vertical="center"/>
      <protection hidden="1"/>
    </xf>
    <xf numFmtId="164" fontId="11" fillId="45" borderId="84" xfId="0" applyNumberFormat="1" applyFont="1" applyFill="1" applyBorder="1" applyAlignment="1" applyProtection="1">
      <alignment horizontal="right"/>
    </xf>
    <xf numFmtId="166" fontId="11" fillId="45" borderId="86" xfId="0" applyNumberFormat="1" applyFont="1" applyFill="1" applyBorder="1" applyProtection="1"/>
    <xf numFmtId="166" fontId="11" fillId="45" borderId="88" xfId="0" applyNumberFormat="1" applyFont="1" applyFill="1" applyBorder="1" applyProtection="1"/>
    <xf numFmtId="164" fontId="11" fillId="45" borderId="10" xfId="0" applyNumberFormat="1" applyFont="1" applyFill="1" applyBorder="1" applyAlignment="1" applyProtection="1">
      <alignment horizontal="right"/>
    </xf>
    <xf numFmtId="166" fontId="11" fillId="45" borderId="17" xfId="0" applyNumberFormat="1" applyFont="1" applyFill="1" applyBorder="1" applyProtection="1"/>
    <xf numFmtId="166" fontId="11" fillId="45" borderId="60" xfId="0" applyNumberFormat="1" applyFont="1" applyFill="1" applyBorder="1" applyProtection="1"/>
    <xf numFmtId="166" fontId="11" fillId="2" borderId="9" xfId="0" applyNumberFormat="1" applyFont="1" applyFill="1" applyBorder="1" applyProtection="1">
      <protection locked="0" hidden="1"/>
    </xf>
    <xf numFmtId="164" fontId="11" fillId="2" borderId="1" xfId="0" applyNumberFormat="1" applyFont="1" applyFill="1" applyBorder="1" applyAlignment="1" applyProtection="1">
      <alignment horizontal="right"/>
      <protection locked="0" hidden="1"/>
    </xf>
    <xf numFmtId="0" fontId="13" fillId="5" borderId="10" xfId="0" applyFont="1" applyFill="1" applyBorder="1" applyAlignment="1" applyProtection="1">
      <alignment horizontal="center"/>
    </xf>
    <xf numFmtId="49" fontId="10" fillId="41" borderId="54" xfId="0" applyNumberFormat="1" applyFont="1" applyFill="1" applyBorder="1" applyAlignment="1">
      <alignment horizontal="right"/>
    </xf>
    <xf numFmtId="0" fontId="8" fillId="43" borderId="112" xfId="0" applyFont="1" applyFill="1" applyBorder="1" applyAlignment="1" applyProtection="1">
      <alignment horizontal="right"/>
      <protection locked="0"/>
    </xf>
    <xf numFmtId="0" fontId="8" fillId="43" borderId="112" xfId="0" applyFont="1" applyFill="1" applyBorder="1" applyAlignment="1" applyProtection="1">
      <alignment horizontal="center"/>
      <protection locked="0"/>
    </xf>
    <xf numFmtId="0" fontId="10" fillId="41" borderId="112" xfId="0" applyFont="1" applyFill="1" applyBorder="1" applyAlignment="1" applyProtection="1">
      <alignment horizontal="right"/>
    </xf>
    <xf numFmtId="166" fontId="10" fillId="43" borderId="113" xfId="0" applyNumberFormat="1" applyFont="1" applyFill="1" applyBorder="1" applyAlignment="1" applyProtection="1">
      <alignment horizontal="right"/>
      <protection locked="0"/>
    </xf>
    <xf numFmtId="0" fontId="9" fillId="3" borderId="48" xfId="0" applyFont="1" applyFill="1" applyBorder="1" applyAlignment="1" applyProtection="1">
      <alignment vertical="center"/>
    </xf>
    <xf numFmtId="0" fontId="8" fillId="3" borderId="114" xfId="0" applyFont="1" applyFill="1" applyBorder="1" applyAlignment="1" applyProtection="1">
      <alignment horizontal="right" vertical="center"/>
    </xf>
    <xf numFmtId="0" fontId="8" fillId="3" borderId="114" xfId="0" applyFont="1" applyFill="1" applyBorder="1" applyAlignment="1" applyProtection="1">
      <alignment horizontal="center" vertical="center"/>
    </xf>
    <xf numFmtId="5" fontId="8" fillId="3" borderId="114" xfId="0" applyNumberFormat="1" applyFont="1" applyFill="1" applyBorder="1" applyAlignment="1" applyProtection="1">
      <alignment vertical="center"/>
    </xf>
    <xf numFmtId="166" fontId="10" fillId="3" borderId="115" xfId="2" applyNumberFormat="1" applyFont="1" applyFill="1" applyBorder="1" applyAlignment="1" applyProtection="1">
      <alignment horizontal="right" vertical="center"/>
    </xf>
    <xf numFmtId="3" fontId="9" fillId="13" borderId="7" xfId="0" applyNumberFormat="1" applyFont="1" applyFill="1" applyBorder="1" applyAlignment="1">
      <alignment horizontal="center"/>
    </xf>
    <xf numFmtId="0" fontId="58" fillId="10" borderId="1" xfId="5" applyFont="1" applyFill="1" applyBorder="1" applyAlignment="1">
      <alignment horizontal="center"/>
    </xf>
    <xf numFmtId="168" fontId="46" fillId="10" borderId="1" xfId="7" applyNumberFormat="1" applyFont="1" applyFill="1" applyBorder="1"/>
    <xf numFmtId="0" fontId="46" fillId="10" borderId="1" xfId="5" applyFont="1" applyFill="1" applyBorder="1"/>
    <xf numFmtId="0" fontId="1" fillId="9" borderId="10" xfId="4" applyFont="1" applyFill="1" applyBorder="1" applyAlignment="1" applyProtection="1">
      <alignment horizontal="center"/>
      <protection locked="0"/>
    </xf>
    <xf numFmtId="2" fontId="46" fillId="0" borderId="8" xfId="0" applyNumberFormat="1" applyFont="1" applyBorder="1"/>
    <xf numFmtId="2" fontId="46" fillId="0" borderId="5" xfId="0" applyNumberFormat="1" applyFont="1" applyBorder="1"/>
    <xf numFmtId="0" fontId="59" fillId="41" borderId="0" xfId="0" applyFont="1" applyFill="1" applyAlignment="1" applyProtection="1">
      <alignment horizontal="right"/>
    </xf>
    <xf numFmtId="0" fontId="19" fillId="0" borderId="7" xfId="0" applyFont="1" applyBorder="1" applyAlignment="1" applyProtection="1">
      <alignment horizontal="left" vertical="top" wrapText="1"/>
    </xf>
    <xf numFmtId="49" fontId="11" fillId="0" borderId="0" xfId="0" applyNumberFormat="1" applyFont="1" applyAlignment="1">
      <alignment horizontal="left"/>
    </xf>
    <xf numFmtId="0" fontId="13" fillId="0" borderId="30" xfId="0" applyFont="1" applyBorder="1"/>
    <xf numFmtId="0" fontId="18" fillId="0" borderId="31" xfId="0" applyFont="1" applyBorder="1" applyAlignment="1" applyProtection="1">
      <alignment horizontal="left" vertical="center"/>
    </xf>
    <xf numFmtId="0" fontId="18" fillId="6" borderId="31" xfId="0" applyFont="1" applyFill="1" applyBorder="1" applyAlignment="1" applyProtection="1">
      <alignment horizontal="left" vertical="center"/>
    </xf>
    <xf numFmtId="0" fontId="18" fillId="6" borderId="31" xfId="0" applyFont="1" applyFill="1" applyBorder="1" applyAlignment="1" applyProtection="1">
      <alignment horizontal="left" vertical="center" wrapText="1"/>
    </xf>
    <xf numFmtId="0" fontId="19" fillId="6" borderId="31" xfId="0" applyFont="1" applyFill="1" applyBorder="1" applyAlignment="1" applyProtection="1">
      <alignment horizontal="left" vertical="center" wrapText="1"/>
    </xf>
    <xf numFmtId="0" fontId="18" fillId="6" borderId="31" xfId="0" applyFont="1" applyFill="1" applyBorder="1" applyAlignment="1" applyProtection="1">
      <alignment vertical="center"/>
    </xf>
    <xf numFmtId="0" fontId="18" fillId="6" borderId="31" xfId="0" applyFont="1" applyFill="1" applyBorder="1" applyAlignment="1" applyProtection="1">
      <alignment horizontal="left" vertical="top" wrapText="1"/>
    </xf>
    <xf numFmtId="0" fontId="18" fillId="47" borderId="31" xfId="0" applyFont="1" applyFill="1" applyBorder="1" applyAlignment="1" applyProtection="1">
      <alignment horizontal="left" vertical="center" wrapText="1"/>
    </xf>
    <xf numFmtId="0" fontId="18" fillId="40" borderId="31" xfId="0" applyFont="1" applyFill="1" applyBorder="1" applyAlignment="1" applyProtection="1">
      <alignment horizontal="left" vertical="center" wrapText="1"/>
    </xf>
    <xf numFmtId="0" fontId="18" fillId="40" borderId="116" xfId="0" applyFont="1" applyFill="1" applyBorder="1" applyAlignment="1" applyProtection="1">
      <alignment horizontal="left" vertical="center" wrapText="1"/>
    </xf>
    <xf numFmtId="0" fontId="18" fillId="40" borderId="31" xfId="4" applyFont="1" applyFill="1" applyBorder="1" applyAlignment="1" applyProtection="1">
      <alignment horizontal="left" vertical="center" wrapText="1"/>
    </xf>
    <xf numFmtId="0" fontId="18" fillId="47" borderId="31" xfId="4" applyFont="1" applyFill="1" applyBorder="1" applyAlignment="1" applyProtection="1">
      <alignment horizontal="left" vertical="center" wrapText="1"/>
    </xf>
    <xf numFmtId="0" fontId="18" fillId="40" borderId="111" xfId="4" applyFont="1" applyFill="1" applyBorder="1" applyAlignment="1" applyProtection="1">
      <alignment horizontal="left" vertical="center" wrapText="1"/>
    </xf>
    <xf numFmtId="0" fontId="18" fillId="6" borderId="31" xfId="4" applyFont="1" applyFill="1" applyBorder="1" applyAlignment="1" applyProtection="1">
      <alignment horizontal="left" vertical="center" wrapText="1"/>
    </xf>
    <xf numFmtId="0" fontId="18" fillId="6" borderId="31" xfId="4" applyFont="1" applyFill="1" applyBorder="1" applyAlignment="1" applyProtection="1">
      <alignment horizontal="left" vertical="top" wrapText="1"/>
    </xf>
    <xf numFmtId="0" fontId="18" fillId="47" borderId="117" xfId="4" applyFont="1" applyFill="1" applyBorder="1" applyAlignment="1" applyProtection="1">
      <alignment horizontal="left" vertical="center" wrapText="1"/>
    </xf>
    <xf numFmtId="0" fontId="18" fillId="40" borderId="116" xfId="4" applyFont="1" applyFill="1" applyBorder="1" applyAlignment="1" applyProtection="1">
      <alignment horizontal="left" vertical="center" wrapText="1"/>
    </xf>
    <xf numFmtId="0" fontId="18" fillId="6" borderId="118" xfId="0" applyFont="1" applyFill="1" applyBorder="1" applyAlignment="1" applyProtection="1">
      <alignment horizontal="left" vertical="center" wrapText="1"/>
    </xf>
    <xf numFmtId="0" fontId="19" fillId="47" borderId="117" xfId="14" applyFont="1" applyFill="1" applyBorder="1" applyAlignment="1" applyProtection="1">
      <alignment horizontal="left" vertical="top" wrapText="1"/>
    </xf>
    <xf numFmtId="0" fontId="19" fillId="40" borderId="31" xfId="14" applyFont="1" applyFill="1" applyBorder="1" applyAlignment="1" applyProtection="1">
      <alignment horizontal="left" vertical="top" wrapText="1"/>
    </xf>
    <xf numFmtId="0" fontId="19" fillId="40" borderId="116" xfId="14" applyFont="1" applyFill="1" applyBorder="1" applyAlignment="1" applyProtection="1">
      <alignment horizontal="left" vertical="top" wrapText="1"/>
    </xf>
    <xf numFmtId="0" fontId="19" fillId="47" borderId="31" xfId="14" applyFont="1" applyFill="1" applyBorder="1" applyAlignment="1" applyProtection="1">
      <alignment horizontal="left" vertical="top" wrapText="1"/>
    </xf>
    <xf numFmtId="0" fontId="19" fillId="6" borderId="31" xfId="4" applyFont="1" applyFill="1" applyBorder="1" applyAlignment="1" applyProtection="1">
      <alignment horizontal="left" vertical="center" wrapText="1"/>
    </xf>
    <xf numFmtId="0" fontId="18" fillId="47" borderId="117" xfId="0" applyFont="1" applyFill="1" applyBorder="1" applyAlignment="1" applyProtection="1">
      <alignment horizontal="left" vertical="center" wrapText="1"/>
    </xf>
    <xf numFmtId="0" fontId="18" fillId="40" borderId="111" xfId="0" applyFont="1" applyFill="1" applyBorder="1" applyAlignment="1" applyProtection="1">
      <alignment horizontal="left" vertical="center" wrapText="1"/>
    </xf>
    <xf numFmtId="0" fontId="18" fillId="0" borderId="31" xfId="0" applyFont="1" applyBorder="1" applyAlignment="1" applyProtection="1">
      <alignment horizontal="left" vertical="center" wrapText="1"/>
    </xf>
    <xf numFmtId="0" fontId="19" fillId="6" borderId="31" xfId="0" applyFont="1" applyFill="1" applyBorder="1" applyAlignment="1" applyProtection="1">
      <alignment horizontal="left" vertical="center"/>
    </xf>
    <xf numFmtId="0" fontId="19" fillId="0" borderId="1" xfId="0" applyFont="1" applyBorder="1" applyAlignment="1" applyProtection="1">
      <alignment horizontal="left" vertical="top" wrapText="1"/>
    </xf>
    <xf numFmtId="0" fontId="11" fillId="0" borderId="31" xfId="0" applyFont="1" applyBorder="1"/>
    <xf numFmtId="0" fontId="11" fillId="0" borderId="10" xfId="0" applyFont="1" applyBorder="1"/>
    <xf numFmtId="0" fontId="18" fillId="40" borderId="31" xfId="0" applyFont="1" applyFill="1" applyBorder="1" applyAlignment="1" applyProtection="1">
      <alignment horizontal="left" vertical="center"/>
    </xf>
    <xf numFmtId="0" fontId="1" fillId="0" borderId="8" xfId="12" applyFont="1" applyBorder="1" applyAlignment="1">
      <alignment horizontal="center" vertical="center"/>
    </xf>
    <xf numFmtId="165" fontId="1" fillId="9" borderId="10" xfId="4" applyNumberFormat="1" applyFont="1" applyFill="1" applyBorder="1" applyAlignment="1" applyProtection="1">
      <alignment horizontal="center"/>
      <protection locked="0"/>
    </xf>
    <xf numFmtId="0" fontId="1" fillId="9" borderId="5" xfId="4" applyFont="1" applyFill="1" applyBorder="1" applyAlignment="1" applyProtection="1">
      <alignment horizontal="center"/>
      <protection locked="0"/>
    </xf>
    <xf numFmtId="0" fontId="11" fillId="41" borderId="1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top" wrapText="1"/>
    </xf>
    <xf numFmtId="0" fontId="22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top" wrapText="1"/>
    </xf>
    <xf numFmtId="0" fontId="19" fillId="0" borderId="1" xfId="4" applyFont="1" applyBorder="1" applyAlignment="1">
      <alignment horizontal="left" vertical="top" wrapText="1"/>
    </xf>
    <xf numFmtId="0" fontId="22" fillId="0" borderId="1" xfId="0" applyFont="1" applyBorder="1" applyAlignment="1">
      <alignment horizontal="left" vertical="center"/>
    </xf>
    <xf numFmtId="0" fontId="18" fillId="0" borderId="1" xfId="4" applyFont="1" applyBorder="1" applyAlignment="1">
      <alignment horizontal="center" vertical="top" wrapText="1"/>
    </xf>
    <xf numFmtId="0" fontId="19" fillId="0" borderId="10" xfId="0" applyFont="1" applyBorder="1" applyAlignment="1">
      <alignment horizontal="left" vertical="top" wrapText="1"/>
    </xf>
    <xf numFmtId="0" fontId="27" fillId="14" borderId="1" xfId="9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165" fontId="11" fillId="0" borderId="0" xfId="0" applyNumberFormat="1" applyFont="1"/>
    <xf numFmtId="165" fontId="0" fillId="0" borderId="0" xfId="0" applyNumberFormat="1"/>
    <xf numFmtId="165" fontId="11" fillId="0" borderId="31" xfId="0" applyNumberFormat="1" applyFont="1" applyBorder="1"/>
    <xf numFmtId="165" fontId="11" fillId="0" borderId="10" xfId="0" applyNumberFormat="1" applyFont="1" applyBorder="1"/>
    <xf numFmtId="165" fontId="13" fillId="48" borderId="30" xfId="0" applyNumberFormat="1" applyFont="1" applyFill="1" applyBorder="1"/>
    <xf numFmtId="166" fontId="0" fillId="41" borderId="12" xfId="0" applyNumberFormat="1" applyFill="1" applyBorder="1" applyAlignment="1">
      <alignment horizontal="center"/>
    </xf>
    <xf numFmtId="166" fontId="11" fillId="4" borderId="9" xfId="0" applyNumberFormat="1" applyFont="1" applyFill="1" applyBorder="1" applyAlignment="1" applyProtection="1">
      <alignment horizontal="center"/>
      <protection locked="0" hidden="1"/>
    </xf>
    <xf numFmtId="166" fontId="11" fillId="10" borderId="9" xfId="0" applyNumberFormat="1" applyFont="1" applyFill="1" applyBorder="1" applyAlignment="1" applyProtection="1">
      <alignment horizontal="center"/>
      <protection locked="0" hidden="1"/>
    </xf>
    <xf numFmtId="10" fontId="11" fillId="2" borderId="21" xfId="0" applyNumberFormat="1" applyFont="1" applyFill="1" applyBorder="1" applyAlignment="1">
      <alignment horizontal="center"/>
    </xf>
    <xf numFmtId="10" fontId="11" fillId="0" borderId="0" xfId="0" applyNumberFormat="1" applyFont="1" applyAlignment="1">
      <alignment horizontal="center"/>
    </xf>
    <xf numFmtId="10" fontId="10" fillId="41" borderId="12" xfId="0" applyNumberFormat="1" applyFont="1" applyFill="1" applyBorder="1" applyAlignment="1">
      <alignment horizontal="right"/>
    </xf>
    <xf numFmtId="10" fontId="10" fillId="3" borderId="12" xfId="2" applyNumberFormat="1" applyFont="1" applyFill="1" applyBorder="1" applyAlignment="1" applyProtection="1">
      <alignment horizontal="right" vertical="center"/>
      <protection hidden="1"/>
    </xf>
    <xf numFmtId="10" fontId="13" fillId="5" borderId="10" xfId="0" applyNumberFormat="1" applyFont="1" applyFill="1" applyBorder="1" applyAlignment="1">
      <alignment horizontal="center"/>
    </xf>
    <xf numFmtId="10" fontId="11" fillId="0" borderId="0" xfId="0" applyNumberFormat="1" applyFont="1"/>
    <xf numFmtId="164" fontId="11" fillId="7" borderId="119" xfId="3" applyNumberFormat="1" applyFont="1" applyBorder="1" applyAlignment="1" applyProtection="1">
      <alignment horizontal="right"/>
      <protection locked="0" hidden="1"/>
    </xf>
    <xf numFmtId="164" fontId="11" fillId="10" borderId="119" xfId="3" applyNumberFormat="1" applyFont="1" applyFill="1" applyBorder="1" applyAlignment="1" applyProtection="1">
      <alignment horizontal="right"/>
      <protection locked="0" hidden="1"/>
    </xf>
    <xf numFmtId="164" fontId="11" fillId="45" borderId="119" xfId="3" applyNumberFormat="1" applyFont="1" applyFill="1" applyBorder="1" applyAlignment="1" applyProtection="1">
      <alignment horizontal="right"/>
      <protection locked="0" hidden="1"/>
    </xf>
    <xf numFmtId="164" fontId="11" fillId="44" borderId="119" xfId="3" applyNumberFormat="1" applyFont="1" applyFill="1" applyBorder="1" applyAlignment="1" applyProtection="1">
      <alignment horizontal="right"/>
    </xf>
    <xf numFmtId="164" fontId="11" fillId="45" borderId="119" xfId="3" applyNumberFormat="1" applyFont="1" applyFill="1" applyBorder="1" applyAlignment="1" applyProtection="1">
      <alignment horizontal="right"/>
    </xf>
    <xf numFmtId="164" fontId="11" fillId="45" borderId="119" xfId="3" applyNumberFormat="1" applyFont="1" applyFill="1" applyBorder="1" applyAlignment="1" applyProtection="1">
      <alignment horizontal="right"/>
      <protection hidden="1"/>
    </xf>
    <xf numFmtId="164" fontId="11" fillId="45" borderId="119" xfId="3" applyNumberFormat="1" applyFont="1" applyFill="1" applyBorder="1" applyAlignment="1" applyProtection="1">
      <alignment horizontal="right"/>
      <protection locked="0"/>
    </xf>
    <xf numFmtId="10" fontId="11" fillId="0" borderId="1" xfId="0" applyNumberFormat="1" applyFont="1" applyBorder="1" applyAlignment="1" applyProtection="1">
      <alignment horizontal="center"/>
      <protection locked="0" hidden="1"/>
    </xf>
    <xf numFmtId="10" fontId="11" fillId="10" borderId="1" xfId="0" applyNumberFormat="1" applyFont="1" applyFill="1" applyBorder="1" applyAlignment="1" applyProtection="1">
      <alignment horizontal="center"/>
      <protection locked="0" hidden="1"/>
    </xf>
    <xf numFmtId="10" fontId="11" fillId="45" borderId="1" xfId="0" applyNumberFormat="1" applyFont="1" applyFill="1" applyBorder="1" applyAlignment="1" applyProtection="1">
      <alignment horizontal="center"/>
      <protection locked="0" hidden="1"/>
    </xf>
    <xf numFmtId="10" fontId="11" fillId="44" borderId="1" xfId="0" applyNumberFormat="1" applyFont="1" applyFill="1" applyBorder="1" applyAlignment="1" applyProtection="1">
      <alignment horizontal="center"/>
    </xf>
    <xf numFmtId="10" fontId="11" fillId="45" borderId="1" xfId="0" applyNumberFormat="1" applyFont="1" applyFill="1" applyBorder="1" applyAlignment="1" applyProtection="1">
      <alignment horizontal="center"/>
    </xf>
    <xf numFmtId="10" fontId="11" fillId="45" borderId="1" xfId="0" applyNumberFormat="1" applyFont="1" applyFill="1" applyBorder="1" applyAlignment="1" applyProtection="1">
      <alignment horizontal="center"/>
      <protection hidden="1"/>
    </xf>
    <xf numFmtId="10" fontId="11" fillId="45" borderId="1" xfId="0" applyNumberFormat="1" applyFont="1" applyFill="1" applyBorder="1" applyAlignment="1" applyProtection="1">
      <alignment horizontal="center"/>
      <protection locked="0"/>
    </xf>
    <xf numFmtId="166" fontId="11" fillId="0" borderId="21" xfId="0" applyNumberFormat="1" applyFont="1" applyBorder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166" fontId="10" fillId="41" borderId="12" xfId="0" applyNumberFormat="1" applyFont="1" applyFill="1" applyBorder="1" applyAlignment="1">
      <alignment horizontal="center" vertical="center"/>
    </xf>
    <xf numFmtId="166" fontId="13" fillId="5" borderId="10" xfId="0" applyNumberFormat="1" applyFont="1" applyFill="1" applyBorder="1" applyAlignment="1">
      <alignment horizontal="center" vertical="center"/>
    </xf>
    <xf numFmtId="166" fontId="11" fillId="7" borderId="119" xfId="3" applyNumberFormat="1" applyFont="1" applyBorder="1" applyAlignment="1" applyProtection="1">
      <alignment horizontal="center" vertical="center"/>
      <protection locked="0" hidden="1"/>
    </xf>
    <xf numFmtId="166" fontId="11" fillId="49" borderId="119" xfId="3" applyNumberFormat="1" applyFont="1" applyFill="1" applyBorder="1" applyAlignment="1" applyProtection="1">
      <alignment horizontal="center" vertical="center"/>
      <protection locked="0" hidden="1"/>
    </xf>
    <xf numFmtId="166" fontId="11" fillId="49" borderId="9" xfId="0" applyNumberFormat="1" applyFont="1" applyFill="1" applyBorder="1" applyAlignment="1" applyProtection="1">
      <alignment horizontal="center"/>
      <protection locked="0" hidden="1"/>
    </xf>
    <xf numFmtId="0" fontId="11" fillId="49" borderId="1" xfId="0" applyFont="1" applyFill="1" applyBorder="1" applyAlignment="1" applyProtection="1">
      <alignment horizontal="center"/>
      <protection locked="0" hidden="1"/>
    </xf>
    <xf numFmtId="166" fontId="11" fillId="50" borderId="119" xfId="3" applyNumberFormat="1" applyFont="1" applyFill="1" applyBorder="1" applyAlignment="1" applyProtection="1">
      <alignment horizontal="center" vertical="center"/>
      <protection locked="0" hidden="1"/>
    </xf>
    <xf numFmtId="0" fontId="10" fillId="0" borderId="0" xfId="0" applyFont="1" applyAlignment="1">
      <alignment horizontal="left"/>
    </xf>
    <xf numFmtId="0" fontId="0" fillId="0" borderId="0" xfId="0" applyAlignment="1"/>
    <xf numFmtId="0" fontId="18" fillId="6" borderId="106" xfId="0" applyFont="1" applyFill="1" applyBorder="1" applyAlignment="1" applyProtection="1">
      <alignment horizontal="left" vertical="top" wrapText="1"/>
    </xf>
    <xf numFmtId="0" fontId="11" fillId="41" borderId="12" xfId="0" applyFont="1" applyFill="1" applyBorder="1" applyAlignment="1">
      <alignment horizontal="center"/>
    </xf>
    <xf numFmtId="0" fontId="0" fillId="41" borderId="12" xfId="0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left" wrapText="1"/>
    </xf>
    <xf numFmtId="0" fontId="53" fillId="0" borderId="20" xfId="12" applyFont="1" applyBorder="1" applyAlignment="1">
      <alignment horizontal="center" vertical="center"/>
    </xf>
    <xf numFmtId="0" fontId="53" fillId="0" borderId="22" xfId="12" applyFont="1" applyBorder="1" applyAlignment="1">
      <alignment horizontal="center" vertical="center"/>
    </xf>
    <xf numFmtId="0" fontId="53" fillId="0" borderId="38" xfId="12" applyFont="1" applyBorder="1" applyAlignment="1">
      <alignment horizontal="center" vertical="center"/>
    </xf>
    <xf numFmtId="0" fontId="53" fillId="0" borderId="39" xfId="12" applyFont="1" applyBorder="1" applyAlignment="1">
      <alignment horizontal="center" vertical="center"/>
    </xf>
    <xf numFmtId="0" fontId="53" fillId="0" borderId="37" xfId="12" applyFont="1" applyBorder="1" applyAlignment="1">
      <alignment horizontal="center" vertical="center"/>
    </xf>
    <xf numFmtId="0" fontId="53" fillId="0" borderId="25" xfId="12" applyFont="1" applyBorder="1" applyAlignment="1">
      <alignment horizontal="center" vertical="center"/>
    </xf>
    <xf numFmtId="0" fontId="53" fillId="0" borderId="37" xfId="12" applyFont="1" applyBorder="1" applyAlignment="1">
      <alignment horizontal="left" vertical="top" wrapText="1"/>
    </xf>
    <xf numFmtId="0" fontId="53" fillId="0" borderId="25" xfId="12" applyFont="1" applyBorder="1" applyAlignment="1">
      <alignment horizontal="left" vertical="top" wrapText="1"/>
    </xf>
    <xf numFmtId="0" fontId="53" fillId="0" borderId="11" xfId="12" applyFont="1" applyBorder="1" applyAlignment="1">
      <alignment horizontal="center" vertical="center"/>
    </xf>
    <xf numFmtId="0" fontId="53" fillId="0" borderId="12" xfId="12" applyFont="1" applyBorder="1" applyAlignment="1">
      <alignment horizontal="center" vertical="center"/>
    </xf>
    <xf numFmtId="0" fontId="53" fillId="0" borderId="20" xfId="12" applyFont="1" applyBorder="1" applyAlignment="1">
      <alignment horizontal="center" vertical="center" wrapText="1"/>
    </xf>
    <xf numFmtId="0" fontId="53" fillId="0" borderId="38" xfId="12" applyFont="1" applyBorder="1" applyAlignment="1">
      <alignment horizontal="center" vertical="center" wrapText="1"/>
    </xf>
    <xf numFmtId="49" fontId="60" fillId="15" borderId="53" xfId="0" applyNumberFormat="1" applyFont="1" applyFill="1" applyBorder="1" applyAlignment="1" applyProtection="1">
      <alignment horizontal="right"/>
    </xf>
    <xf numFmtId="0" fontId="21" fillId="15" borderId="53" xfId="0" applyFont="1" applyFill="1" applyBorder="1" applyAlignment="1"/>
    <xf numFmtId="0" fontId="8" fillId="15" borderId="62" xfId="0" applyFont="1" applyFill="1" applyBorder="1" applyAlignment="1">
      <alignment horizontal="right"/>
    </xf>
    <xf numFmtId="0" fontId="0" fillId="15" borderId="62" xfId="0" applyFill="1" applyBorder="1" applyAlignment="1"/>
    <xf numFmtId="0" fontId="0" fillId="0" borderId="0" xfId="0" applyAlignment="1">
      <alignment horizontal="center"/>
    </xf>
    <xf numFmtId="0" fontId="0" fillId="27" borderId="31" xfId="0" applyFill="1" applyBorder="1" applyAlignment="1">
      <alignment wrapText="1"/>
    </xf>
    <xf numFmtId="0" fontId="0" fillId="27" borderId="36" xfId="0" applyFill="1" applyBorder="1" applyAlignment="1">
      <alignment wrapText="1"/>
    </xf>
    <xf numFmtId="0" fontId="0" fillId="0" borderId="28" xfId="0" applyBorder="1" applyAlignment="1">
      <alignment wrapText="1"/>
    </xf>
    <xf numFmtId="0" fontId="0" fillId="0" borderId="35" xfId="0" applyBorder="1" applyAlignment="1">
      <alignment wrapText="1"/>
    </xf>
    <xf numFmtId="0" fontId="0" fillId="27" borderId="30" xfId="0" applyFill="1" applyBorder="1" applyAlignment="1">
      <alignment wrapText="1"/>
    </xf>
    <xf numFmtId="0" fontId="0" fillId="27" borderId="10" xfId="0" applyFill="1" applyBorder="1" applyAlignment="1">
      <alignment wrapText="1"/>
    </xf>
    <xf numFmtId="0" fontId="19" fillId="0" borderId="30" xfId="0" applyFont="1" applyBorder="1" applyAlignment="1">
      <alignment horizontal="left" vertical="top" wrapText="1"/>
    </xf>
    <xf numFmtId="0" fontId="19" fillId="0" borderId="10" xfId="0" applyFont="1" applyBorder="1" applyAlignment="1">
      <alignment horizontal="left" vertical="top" wrapText="1"/>
    </xf>
    <xf numFmtId="0" fontId="27" fillId="14" borderId="1" xfId="9" applyFont="1" applyBorder="1" applyAlignment="1">
      <alignment horizontal="left" vertical="center" wrapText="1"/>
    </xf>
    <xf numFmtId="0" fontId="18" fillId="0" borderId="30" xfId="0" applyFont="1" applyBorder="1" applyAlignment="1">
      <alignment horizontal="left" vertical="center" wrapText="1"/>
    </xf>
    <xf numFmtId="0" fontId="18" fillId="0" borderId="10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3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center" vertical="center" wrapText="1"/>
    </xf>
    <xf numFmtId="0" fontId="27" fillId="14" borderId="7" xfId="9" applyFont="1" applyBorder="1" applyAlignment="1">
      <alignment horizontal="left" vertical="center" wrapText="1"/>
    </xf>
    <xf numFmtId="0" fontId="27" fillId="14" borderId="8" xfId="9" applyFont="1" applyBorder="1" applyAlignment="1">
      <alignment horizontal="left" vertical="center" wrapText="1"/>
    </xf>
    <xf numFmtId="0" fontId="27" fillId="14" borderId="9" xfId="9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top" wrapText="1"/>
    </xf>
    <xf numFmtId="0" fontId="18" fillId="0" borderId="30" xfId="0" applyFont="1" applyBorder="1" applyAlignment="1">
      <alignment horizontal="left" vertical="top" wrapText="1"/>
    </xf>
    <xf numFmtId="0" fontId="18" fillId="0" borderId="31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0" fontId="22" fillId="0" borderId="1" xfId="0" applyFont="1" applyBorder="1" applyAlignment="1">
      <alignment horizontal="left" vertical="top" wrapText="1"/>
    </xf>
    <xf numFmtId="0" fontId="22" fillId="21" borderId="7" xfId="4" applyFont="1" applyFill="1" applyBorder="1" applyAlignment="1">
      <alignment horizontal="left" vertical="top" wrapText="1"/>
    </xf>
    <xf numFmtId="0" fontId="22" fillId="21" borderId="9" xfId="4" applyFont="1" applyFill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8" fillId="0" borderId="1" xfId="4" applyFont="1" applyBorder="1" applyAlignment="1">
      <alignment horizontal="center" vertical="top" wrapText="1"/>
    </xf>
    <xf numFmtId="0" fontId="27" fillId="14" borderId="7" xfId="9" applyFont="1" applyBorder="1" applyAlignment="1">
      <alignment horizontal="left" vertical="center"/>
    </xf>
    <xf numFmtId="0" fontId="27" fillId="14" borderId="8" xfId="9" applyFont="1" applyBorder="1" applyAlignment="1">
      <alignment horizontal="left" vertical="center"/>
    </xf>
    <xf numFmtId="0" fontId="27" fillId="14" borderId="9" xfId="9" applyFont="1" applyBorder="1" applyAlignment="1">
      <alignment horizontal="left" vertical="center"/>
    </xf>
    <xf numFmtId="0" fontId="19" fillId="0" borderId="30" xfId="0" applyFont="1" applyBorder="1" applyAlignment="1">
      <alignment vertical="top" wrapText="1"/>
    </xf>
    <xf numFmtId="0" fontId="19" fillId="0" borderId="31" xfId="0" applyFont="1" applyBorder="1" applyAlignment="1">
      <alignment vertical="top" wrapText="1"/>
    </xf>
    <xf numFmtId="0" fontId="19" fillId="0" borderId="10" xfId="0" applyFont="1" applyBorder="1" applyAlignment="1">
      <alignment vertical="top" wrapText="1"/>
    </xf>
    <xf numFmtId="0" fontId="22" fillId="0" borderId="1" xfId="0" applyFont="1" applyBorder="1" applyAlignment="1">
      <alignment horizontal="left" vertical="center"/>
    </xf>
    <xf numFmtId="0" fontId="22" fillId="10" borderId="7" xfId="0" applyFont="1" applyFill="1" applyBorder="1" applyAlignment="1">
      <alignment horizontal="left" vertical="top"/>
    </xf>
    <xf numFmtId="0" fontId="22" fillId="10" borderId="9" xfId="0" applyFont="1" applyFill="1" applyBorder="1" applyAlignment="1">
      <alignment horizontal="left" vertical="top"/>
    </xf>
    <xf numFmtId="0" fontId="22" fillId="0" borderId="1" xfId="0" applyFont="1" applyBorder="1" applyAlignment="1">
      <alignment horizontal="left" vertical="center" wrapText="1"/>
    </xf>
    <xf numFmtId="0" fontId="19" fillId="0" borderId="1" xfId="4" applyFont="1" applyBorder="1" applyAlignment="1">
      <alignment horizontal="left" vertical="top" wrapText="1"/>
    </xf>
    <xf numFmtId="0" fontId="22" fillId="0" borderId="1" xfId="4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top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/>
    </xf>
    <xf numFmtId="0" fontId="22" fillId="10" borderId="7" xfId="0" applyFont="1" applyFill="1" applyBorder="1" applyAlignment="1">
      <alignment horizontal="left" vertical="top" wrapText="1"/>
    </xf>
    <xf numFmtId="0" fontId="22" fillId="10" borderId="9" xfId="0" applyFont="1" applyFill="1" applyBorder="1" applyAlignment="1">
      <alignment horizontal="left" vertical="top" wrapText="1"/>
    </xf>
    <xf numFmtId="166" fontId="11" fillId="8" borderId="0" xfId="0" applyNumberFormat="1" applyFont="1" applyFill="1" applyAlignment="1">
      <alignment horizontal="center"/>
    </xf>
    <xf numFmtId="10" fontId="11" fillId="8" borderId="53" xfId="0" applyNumberFormat="1" applyFont="1" applyFill="1" applyBorder="1" applyAlignment="1">
      <alignment horizontal="center"/>
    </xf>
    <xf numFmtId="0" fontId="0" fillId="0" borderId="53" xfId="0" applyBorder="1" applyAlignment="1">
      <alignment horizontal="center"/>
    </xf>
  </cellXfs>
  <cellStyles count="948">
    <cellStyle name="Accent1" xfId="9" builtinId="29"/>
    <cellStyle name="Comma 3" xfId="7" xr:uid="{6F61A30A-08A1-4FF4-9148-24A991B40970}"/>
    <cellStyle name="Currency" xfId="1" builtinId="4"/>
    <cellStyle name="Currency 2" xfId="10" xr:uid="{7924A8FA-36D3-495B-9D74-843C4C655EA1}"/>
    <cellStyle name="Currency 3" xfId="36" xr:uid="{68217794-2161-4B10-9052-417A19149977}"/>
    <cellStyle name="Currency 3 2" xfId="57" xr:uid="{18DB5452-67F2-4E56-A198-AE73570140A1}"/>
    <cellStyle name="Currency 3 2 2" xfId="101" xr:uid="{CDCC9AA8-C417-4BBA-8A89-F20C16810FE7}"/>
    <cellStyle name="Currency 3 2 2 2" xfId="184" xr:uid="{B0B6E9FE-E6D5-441D-A039-BC91C78BCBAF}"/>
    <cellStyle name="Currency 3 2 2 2 2" xfId="352" xr:uid="{0216C643-A401-4DC1-BD7D-7F2845D2ECE2}"/>
    <cellStyle name="Currency 3 2 2 2 2 2" xfId="774" xr:uid="{9CD60B69-DDE8-4152-AF80-1B111C2B791F}"/>
    <cellStyle name="Currency 3 2 2 2 3" xfId="606" xr:uid="{F304BADE-C1E8-413B-87CE-219A00305169}"/>
    <cellStyle name="Currency 3 2 2 3" xfId="269" xr:uid="{7ECA1742-BB77-47B0-A954-E082D96C5F0D}"/>
    <cellStyle name="Currency 3 2 2 3 2" xfId="691" xr:uid="{AB34D83C-9BFA-419A-90C2-C05CAF762900}"/>
    <cellStyle name="Currency 3 2 2 4" xfId="438" xr:uid="{12756005-FC58-4BF3-A922-25707DF637BE}"/>
    <cellStyle name="Currency 3 2 2 4 2" xfId="859" xr:uid="{97BFA037-ACA1-46FA-8E08-002FAB203372}"/>
    <cellStyle name="Currency 3 2 2 5" xfId="523" xr:uid="{F96E429E-5D26-4A41-84FF-F6018DECFF72}"/>
    <cellStyle name="Currency 3 2 2 6" xfId="944" xr:uid="{28735AE1-FCF7-4DCC-93C7-9B9B92301D3D}"/>
    <cellStyle name="Currency 3 2 3" xfId="142" xr:uid="{88254699-003E-44E2-9032-B8DD28161F88}"/>
    <cellStyle name="Currency 3 2 3 2" xfId="310" xr:uid="{DCEE0EF4-7837-4957-8DCB-B1A7A6087741}"/>
    <cellStyle name="Currency 3 2 3 2 2" xfId="732" xr:uid="{DE6340CD-C4B8-435F-A783-CC50E60A735D}"/>
    <cellStyle name="Currency 3 2 3 3" xfId="564" xr:uid="{BD83482D-B42B-44BC-8BFC-CC488E981D4F}"/>
    <cellStyle name="Currency 3 2 4" xfId="227" xr:uid="{5741C2EE-DDAC-466A-93FD-B283958D6423}"/>
    <cellStyle name="Currency 3 2 4 2" xfId="649" xr:uid="{EC542D9E-BB60-4EC9-BC44-DDC66E889500}"/>
    <cellStyle name="Currency 3 2 5" xfId="396" xr:uid="{0EE78E50-B052-49B1-B189-4EB408E03712}"/>
    <cellStyle name="Currency 3 2 5 2" xfId="817" xr:uid="{4EB278F5-13B3-44E7-91D4-7FC819E69412}"/>
    <cellStyle name="Currency 3 2 6" xfId="481" xr:uid="{906FF824-31B7-4EAC-A2A6-97684AB41B7E}"/>
    <cellStyle name="Currency 3 2 7" xfId="902" xr:uid="{E915DED9-8E80-465D-9F30-B832FABEE9C1}"/>
    <cellStyle name="Currency 3 3" xfId="81" xr:uid="{2C21116E-2168-4056-9198-51F67F791255}"/>
    <cellStyle name="Currency 3 3 2" xfId="164" xr:uid="{EE5A1A99-F8CE-4727-9470-E56A563A1F64}"/>
    <cellStyle name="Currency 3 3 2 2" xfId="332" xr:uid="{50B5E27D-DDCD-4B1E-9808-F45F087A6A29}"/>
    <cellStyle name="Currency 3 3 2 2 2" xfId="754" xr:uid="{42A4AF68-305C-4C25-AF3B-539ECB11839C}"/>
    <cellStyle name="Currency 3 3 2 3" xfId="586" xr:uid="{63A5091B-D172-4042-A4A7-C15A3D2B5F02}"/>
    <cellStyle name="Currency 3 3 3" xfId="249" xr:uid="{9BAD8F9E-A34C-481E-A718-B2A15DC75B1B}"/>
    <cellStyle name="Currency 3 3 3 2" xfId="671" xr:uid="{EC1ACBDC-3358-4358-B272-132C4158287E}"/>
    <cellStyle name="Currency 3 3 4" xfId="418" xr:uid="{EAACF8D2-A67C-4074-97DC-1C2F2288164C}"/>
    <cellStyle name="Currency 3 3 4 2" xfId="839" xr:uid="{03D4E168-ECED-4743-BCDE-9284A05508E5}"/>
    <cellStyle name="Currency 3 3 5" xfId="503" xr:uid="{A47FDA08-E7BD-4AF1-80CA-B4EF41810978}"/>
    <cellStyle name="Currency 3 3 6" xfId="924" xr:uid="{ADB897BD-3F9C-4C8C-B2A9-CD52E9AEB526}"/>
    <cellStyle name="Currency 3 4" xfId="122" xr:uid="{DA0523A8-2807-458C-B1C2-5E77CCC25BD1}"/>
    <cellStyle name="Currency 3 4 2" xfId="290" xr:uid="{E1288475-1EB0-43DC-8280-A35D36C58912}"/>
    <cellStyle name="Currency 3 4 2 2" xfId="712" xr:uid="{6013DF77-2AD8-421B-BFB1-DA881B59ABFE}"/>
    <cellStyle name="Currency 3 4 3" xfId="544" xr:uid="{863AD5D6-F21A-4027-8961-406E53FD8168}"/>
    <cellStyle name="Currency 3 5" xfId="207" xr:uid="{F6761E46-6E34-4934-A953-EAE5DA4F1D18}"/>
    <cellStyle name="Currency 3 5 2" xfId="629" xr:uid="{EAAF9B27-BDAB-4FA6-9215-F64E01A05E99}"/>
    <cellStyle name="Currency 3 6" xfId="376" xr:uid="{82BB3470-E081-49A3-8889-D93B6FE9FFDE}"/>
    <cellStyle name="Currency 3 6 2" xfId="797" xr:uid="{4A0A1A1A-BCAD-49B0-8A4E-F018F33993ED}"/>
    <cellStyle name="Currency 3 7" xfId="461" xr:uid="{AD95C986-03BF-43D6-978E-DA285C6609DD}"/>
    <cellStyle name="Currency 3 8" xfId="882" xr:uid="{CD021CB6-E2AF-4627-9F05-6D45559C3061}"/>
    <cellStyle name="Currency 4" xfId="11" xr:uid="{FABCCBA1-C932-4E3E-8A39-C9E045651AAA}"/>
    <cellStyle name="Currency 4 2" xfId="355" xr:uid="{3DEE4FE6-2F37-4C8D-8AC0-3DDE9144C36B}"/>
    <cellStyle name="Currency 4 2 2" xfId="777" xr:uid="{A69CF47C-4FDD-4B3F-9632-D371DB5A8BF7}"/>
    <cellStyle name="Currency 4 3" xfId="609" xr:uid="{A5FFE4BD-590C-46E8-874F-37728F5033DD}"/>
    <cellStyle name="Currency 4 4" xfId="187" xr:uid="{FD6AFEA1-D985-4388-9239-C065EB6ED8E0}"/>
    <cellStyle name="Currency 5" xfId="441" xr:uid="{3BD6A1B1-8CBA-428C-A996-03B777517B71}"/>
    <cellStyle name="Currency 5 2" xfId="862" xr:uid="{A23B6F11-261A-4CC7-92F9-11A84F55C1EB}"/>
    <cellStyle name="Currency 6" xfId="13" xr:uid="{9FA4F7B8-B11E-472E-A3A5-2EA1749A78A7}"/>
    <cellStyle name="Currency 6 2" xfId="947" xr:uid="{D1439D0C-B26B-4E8E-9D23-8A49181A388D}"/>
    <cellStyle name="Normal" xfId="0" builtinId="0"/>
    <cellStyle name="Normal 10" xfId="61" xr:uid="{91FC8CE0-C7AF-4A09-9B4F-7A305F6014ED}"/>
    <cellStyle name="Normal 10 2" xfId="144" xr:uid="{CFFEAEB6-9686-401E-B836-EACE570D15D0}"/>
    <cellStyle name="Normal 10 2 2" xfId="312" xr:uid="{43DE6942-E274-4B57-BB49-BDAAB1B58A7F}"/>
    <cellStyle name="Normal 10 2 2 2" xfId="734" xr:uid="{FDAA5832-66EC-4E84-97AE-647D04485232}"/>
    <cellStyle name="Normal 10 2 3" xfId="566" xr:uid="{F86EE120-F66C-4494-B9CC-D0B20A21516E}"/>
    <cellStyle name="Normal 10 3" xfId="229" xr:uid="{C01D6BD9-917B-468D-934D-B592D73415F9}"/>
    <cellStyle name="Normal 10 3 2" xfId="651" xr:uid="{D450ADEE-8F30-420B-9DFD-9E2EE76628DA}"/>
    <cellStyle name="Normal 10 4" xfId="398" xr:uid="{64537845-B795-4B08-84F3-FC7A99F6C0F0}"/>
    <cellStyle name="Normal 10 4 2" xfId="819" xr:uid="{A77AF8ED-D117-448A-A3E0-2692E1D592D8}"/>
    <cellStyle name="Normal 10 5" xfId="483" xr:uid="{C2DC6D25-ACF4-4B53-AEC3-9C5D9757D92B}"/>
    <cellStyle name="Normal 10 6" xfId="904" xr:uid="{24F638A2-24FE-4991-8E24-9E6DF3E547C8}"/>
    <cellStyle name="Normal 11" xfId="186" xr:uid="{91BDB7C8-474D-486B-98AA-E9F0E77EE1AD}"/>
    <cellStyle name="Normal 11 2" xfId="354" xr:uid="{38E5D50F-5EE2-4962-B0D8-EDEF4E57C41E}"/>
    <cellStyle name="Normal 11 2 2" xfId="776" xr:uid="{4AADD11A-F1C1-4CED-B372-737C9EE8BCE2}"/>
    <cellStyle name="Normal 11 3" xfId="608" xr:uid="{EDAC32DF-E361-419A-BF50-7148BEDD85CB}"/>
    <cellStyle name="Normal 12" xfId="440" xr:uid="{2C2A0953-6AF7-421F-AC7E-764A5AA83B35}"/>
    <cellStyle name="Normal 12 2" xfId="861" xr:uid="{7A9D20D8-D263-408C-8018-E44E37F72B1D}"/>
    <cellStyle name="Normal 13" xfId="12" xr:uid="{0C2DFEF4-3904-47C8-AB5B-71872B235341}"/>
    <cellStyle name="Normal 13 2" xfId="946" xr:uid="{3B00A831-4CB1-4436-A588-994A7CCE3C76}"/>
    <cellStyle name="Normal 2" xfId="4" xr:uid="{00000000-0005-0000-0000-000002000000}"/>
    <cellStyle name="Normal 2 2" xfId="14" xr:uid="{E37639F2-9780-4FA3-B3E9-23333B09D94D}"/>
    <cellStyle name="Normal 3" xfId="6" xr:uid="{26BABCC3-4C83-4543-A507-F12EAC79D69C}"/>
    <cellStyle name="Normal 3 2" xfId="15" xr:uid="{B7EBB2F6-4876-4831-A038-F234B4CA8FEB}"/>
    <cellStyle name="Normal 4" xfId="8" xr:uid="{BCB2B4BA-7023-4B70-AC18-BA2B8D33E9BE}"/>
    <cellStyle name="Normal 4 10" xfId="357" xr:uid="{5128C149-895A-457C-937F-B6DA267CA4DE}"/>
    <cellStyle name="Normal 4 10 2" xfId="778" xr:uid="{9A9943B5-43C9-45AC-8DE0-14BD1DB8E727}"/>
    <cellStyle name="Normal 4 11" xfId="442" xr:uid="{61D52F3E-6F1F-4CD3-AB57-A6C885E232F0}"/>
    <cellStyle name="Normal 4 12" xfId="863" xr:uid="{BEAEC7DF-6378-4386-9949-571486245CE2}"/>
    <cellStyle name="Normal 4 13" xfId="16" xr:uid="{C5D8D208-DC8E-496F-9E47-97F8E119A08A}"/>
    <cellStyle name="Normal 4 2" xfId="19" xr:uid="{9C476397-4BED-4D1E-AD95-8385B2BC4058}"/>
    <cellStyle name="Normal 4 2 10" xfId="444" xr:uid="{95F72469-505F-41E9-9603-93B8EBE0AB0E}"/>
    <cellStyle name="Normal 4 2 11" xfId="865" xr:uid="{A3A6263A-FC5D-45AE-AD0C-8070905EED8A}"/>
    <cellStyle name="Normal 4 2 2" xfId="22" xr:uid="{A1161C79-D63B-4C76-AE16-AB575420D790}"/>
    <cellStyle name="Normal 4 2 2 2" xfId="31" xr:uid="{A49988DE-929B-45AF-A3C5-273801069990}"/>
    <cellStyle name="Normal 4 2 2 2 2" xfId="52" xr:uid="{C741E275-22A8-491A-BF38-0B3B5F45BDDD}"/>
    <cellStyle name="Normal 4 2 2 2 2 2" xfId="96" xr:uid="{6331ABF8-50A5-4EF2-A899-5A9BA49D4FB0}"/>
    <cellStyle name="Normal 4 2 2 2 2 2 2" xfId="179" xr:uid="{E485FDE5-28D2-4DB5-B4B2-048B92965243}"/>
    <cellStyle name="Normal 4 2 2 2 2 2 2 2" xfId="347" xr:uid="{61CD7BEC-E1B9-437F-B666-9CE7E5770746}"/>
    <cellStyle name="Normal 4 2 2 2 2 2 2 2 2" xfId="769" xr:uid="{C8D4009E-98A9-47FC-AB76-E6128AED3EFF}"/>
    <cellStyle name="Normal 4 2 2 2 2 2 2 3" xfId="601" xr:uid="{B7ACCD52-2571-465C-AF78-3360549750BA}"/>
    <cellStyle name="Normal 4 2 2 2 2 2 3" xfId="264" xr:uid="{A969A3FB-26F1-47BD-BA04-5165AD4F3DA9}"/>
    <cellStyle name="Normal 4 2 2 2 2 2 3 2" xfId="686" xr:uid="{0701DF3D-142A-498F-B4B4-059E5B720F9A}"/>
    <cellStyle name="Normal 4 2 2 2 2 2 4" xfId="433" xr:uid="{C2F9583A-76BE-4565-BCB9-D406368AFD24}"/>
    <cellStyle name="Normal 4 2 2 2 2 2 4 2" xfId="854" xr:uid="{CF0BC46F-5A14-4B04-8B6E-1881DEEB2325}"/>
    <cellStyle name="Normal 4 2 2 2 2 2 5" xfId="518" xr:uid="{FBD20CFC-3E36-4365-B94E-C8BCFD08381D}"/>
    <cellStyle name="Normal 4 2 2 2 2 2 6" xfId="939" xr:uid="{ABC12575-4771-4164-9B7D-470975689ADC}"/>
    <cellStyle name="Normal 4 2 2 2 2 3" xfId="137" xr:uid="{EA62AACB-0510-430D-B799-273E06E9E7F1}"/>
    <cellStyle name="Normal 4 2 2 2 2 3 2" xfId="305" xr:uid="{255A89A6-4725-40B6-BC5C-6FFDC38C1BBD}"/>
    <cellStyle name="Normal 4 2 2 2 2 3 2 2" xfId="727" xr:uid="{AA189175-6493-4232-86E4-8CC98FAD4731}"/>
    <cellStyle name="Normal 4 2 2 2 2 3 3" xfId="559" xr:uid="{EEE1549E-68F2-4FDD-918E-CB6CB7462E85}"/>
    <cellStyle name="Normal 4 2 2 2 2 4" xfId="222" xr:uid="{13AE079A-C6E7-4EC4-882A-E78E2CD0EAB2}"/>
    <cellStyle name="Normal 4 2 2 2 2 4 2" xfId="644" xr:uid="{E2197EC0-4991-4E03-B6A1-EC7D193D7D25}"/>
    <cellStyle name="Normal 4 2 2 2 2 5" xfId="391" xr:uid="{86FA8B29-6003-4701-824A-99AF31594C3D}"/>
    <cellStyle name="Normal 4 2 2 2 2 5 2" xfId="812" xr:uid="{18AAC655-598F-48E4-AD31-E6132674D34D}"/>
    <cellStyle name="Normal 4 2 2 2 2 6" xfId="476" xr:uid="{8E396725-73D0-46AA-A697-0728586B613D}"/>
    <cellStyle name="Normal 4 2 2 2 2 7" xfId="897" xr:uid="{B1804042-9BC0-423C-B1F0-CC4F619A7DB7}"/>
    <cellStyle name="Normal 4 2 2 2 3" xfId="76" xr:uid="{A043AA74-290A-47DD-AD4A-3DA17AEC7510}"/>
    <cellStyle name="Normal 4 2 2 2 3 2" xfId="159" xr:uid="{E9B696BD-B3A4-4156-8E42-82D80E099BFF}"/>
    <cellStyle name="Normal 4 2 2 2 3 2 2" xfId="327" xr:uid="{533289BA-2ABE-4932-AC28-0A1A7E213595}"/>
    <cellStyle name="Normal 4 2 2 2 3 2 2 2" xfId="749" xr:uid="{17FA1875-1A6C-4C65-8B50-5436A24A831A}"/>
    <cellStyle name="Normal 4 2 2 2 3 2 3" xfId="581" xr:uid="{0502277B-C988-48C2-AEE0-335E63762634}"/>
    <cellStyle name="Normal 4 2 2 2 3 3" xfId="244" xr:uid="{15B3CEBE-86CF-4E3F-A6FA-268F2AFDA268}"/>
    <cellStyle name="Normal 4 2 2 2 3 3 2" xfId="666" xr:uid="{32986DA4-47D8-4E6C-98F8-F92B9E240967}"/>
    <cellStyle name="Normal 4 2 2 2 3 4" xfId="413" xr:uid="{56B0F3AA-90BE-4703-B704-1B0729324A34}"/>
    <cellStyle name="Normal 4 2 2 2 3 4 2" xfId="834" xr:uid="{E05732F5-DE89-4778-A3E3-EC6D8CD9F705}"/>
    <cellStyle name="Normal 4 2 2 2 3 5" xfId="498" xr:uid="{9CB04336-B4DA-41B8-9EE8-B9FE46850A6B}"/>
    <cellStyle name="Normal 4 2 2 2 3 6" xfId="919" xr:uid="{EE8156AE-F879-4A7F-A7E3-6E565F46FED3}"/>
    <cellStyle name="Normal 4 2 2 2 4" xfId="117" xr:uid="{98D7B54F-8521-4045-A704-11963D3DDF54}"/>
    <cellStyle name="Normal 4 2 2 2 4 2" xfId="285" xr:uid="{37319907-8F64-45D1-B54C-BFCA40A80EA7}"/>
    <cellStyle name="Normal 4 2 2 2 4 2 2" xfId="707" xr:uid="{675A8F21-59B3-48F6-BD92-CAE526A223A0}"/>
    <cellStyle name="Normal 4 2 2 2 4 3" xfId="539" xr:uid="{A7F31449-76A8-4F0C-B103-420317F245CB}"/>
    <cellStyle name="Normal 4 2 2 2 5" xfId="202" xr:uid="{3E5A797B-EA9E-4B87-9B35-256FA5B70015}"/>
    <cellStyle name="Normal 4 2 2 2 5 2" xfId="624" xr:uid="{B4A7ECAE-1B13-4DD1-A561-A0D2BC4026BA}"/>
    <cellStyle name="Normal 4 2 2 2 6" xfId="371" xr:uid="{DFDFABC4-2884-43A3-9D0B-AE4F2171F74A}"/>
    <cellStyle name="Normal 4 2 2 2 6 2" xfId="792" xr:uid="{1329274D-DCDB-45F1-8510-EE27F0E9DA06}"/>
    <cellStyle name="Normal 4 2 2 2 7" xfId="456" xr:uid="{8844A72F-F7B8-4843-A90D-B56DB870B67B}"/>
    <cellStyle name="Normal 4 2 2 2 8" xfId="877" xr:uid="{85757EEB-2BC1-4E9D-8D00-844DACF82081}"/>
    <cellStyle name="Normal 4 2 2 3" xfId="43" xr:uid="{22D1DF17-4BF5-4BA8-BF18-6DA6EA5CC53C}"/>
    <cellStyle name="Normal 4 2 2 3 2" xfId="87" xr:uid="{2709815D-22DD-4355-B63F-DDBF878156E3}"/>
    <cellStyle name="Normal 4 2 2 3 2 2" xfId="170" xr:uid="{D53B3ECF-7D5F-496B-BD4D-E5E1E48C9D68}"/>
    <cellStyle name="Normal 4 2 2 3 2 2 2" xfId="338" xr:uid="{CD0FCDD5-7CE1-45A6-9894-B1D0472F7AD6}"/>
    <cellStyle name="Normal 4 2 2 3 2 2 2 2" xfId="760" xr:uid="{604CA60E-ED44-4A24-ACB9-E5ADA8840625}"/>
    <cellStyle name="Normal 4 2 2 3 2 2 3" xfId="592" xr:uid="{D8558C17-FEA7-4754-85C8-4D35C07D2CA7}"/>
    <cellStyle name="Normal 4 2 2 3 2 3" xfId="255" xr:uid="{8B93AF88-ABC0-44E7-A422-C426E2EC035F}"/>
    <cellStyle name="Normal 4 2 2 3 2 3 2" xfId="677" xr:uid="{23D07285-CAA5-4820-B5E4-8529AF9A999E}"/>
    <cellStyle name="Normal 4 2 2 3 2 4" xfId="424" xr:uid="{41C7ECF1-E513-4B05-B2DC-1BB0FE69FEE4}"/>
    <cellStyle name="Normal 4 2 2 3 2 4 2" xfId="845" xr:uid="{EA46B133-FD1A-482F-88A1-5FDD55371A2C}"/>
    <cellStyle name="Normal 4 2 2 3 2 5" xfId="509" xr:uid="{95A46FD8-C639-42BF-B4CD-45727452E46A}"/>
    <cellStyle name="Normal 4 2 2 3 2 6" xfId="930" xr:uid="{46781054-51D7-4DEC-B198-4705643D3E30}"/>
    <cellStyle name="Normal 4 2 2 3 3" xfId="128" xr:uid="{44060C55-8D83-4200-9FEB-C4B89CC50A57}"/>
    <cellStyle name="Normal 4 2 2 3 3 2" xfId="296" xr:uid="{04E55088-67F7-4B0C-9656-4F71E8725FC1}"/>
    <cellStyle name="Normal 4 2 2 3 3 2 2" xfId="718" xr:uid="{0C17792C-5DA4-4521-A2AB-989A059770DF}"/>
    <cellStyle name="Normal 4 2 2 3 3 3" xfId="550" xr:uid="{82F7E405-30E3-407E-AB4F-E70FE31F1A72}"/>
    <cellStyle name="Normal 4 2 2 3 4" xfId="213" xr:uid="{91106603-C0FD-425B-B271-818021B6FA17}"/>
    <cellStyle name="Normal 4 2 2 3 4 2" xfId="635" xr:uid="{F3B5755A-B1A6-4E55-A1DE-2705645B61F9}"/>
    <cellStyle name="Normal 4 2 2 3 5" xfId="382" xr:uid="{B2E88BC9-6E21-49AE-B7AE-D2C89060CCE9}"/>
    <cellStyle name="Normal 4 2 2 3 5 2" xfId="803" xr:uid="{E705A20C-5A84-4F88-B049-D636CE01B5D0}"/>
    <cellStyle name="Normal 4 2 2 3 6" xfId="467" xr:uid="{0B7A376D-B48B-4101-B495-7319E2C69198}"/>
    <cellStyle name="Normal 4 2 2 3 7" xfId="888" xr:uid="{B3D6895E-3D3F-49E5-AD99-3C37F11B2A03}"/>
    <cellStyle name="Normal 4 2 2 4" xfId="67" xr:uid="{CA0590BE-8A45-4D11-B2CE-DD7B9F086819}"/>
    <cellStyle name="Normal 4 2 2 4 2" xfId="150" xr:uid="{196ACE17-2A57-494F-9C60-E64F39AAF3A4}"/>
    <cellStyle name="Normal 4 2 2 4 2 2" xfId="318" xr:uid="{0E6DBFDF-3191-4265-B203-F1325BA40D08}"/>
    <cellStyle name="Normal 4 2 2 4 2 2 2" xfId="740" xr:uid="{92B870D6-B0CB-433E-821E-EBC3301707C6}"/>
    <cellStyle name="Normal 4 2 2 4 2 3" xfId="572" xr:uid="{E92F7489-30F1-423B-97CC-C313F315205D}"/>
    <cellStyle name="Normal 4 2 2 4 3" xfId="235" xr:uid="{02E3386B-7C51-445E-B076-A9EED80419CB}"/>
    <cellStyle name="Normal 4 2 2 4 3 2" xfId="657" xr:uid="{49C54742-8A82-4567-BCD8-A915D87D70DC}"/>
    <cellStyle name="Normal 4 2 2 4 4" xfId="404" xr:uid="{7B4E0988-3EC3-4665-B76C-B7DD35CA60B0}"/>
    <cellStyle name="Normal 4 2 2 4 4 2" xfId="825" xr:uid="{6079873E-3E97-4565-BC45-FD6F1212AE37}"/>
    <cellStyle name="Normal 4 2 2 4 5" xfId="489" xr:uid="{6D2392B8-83FA-43E9-9DE2-65FF8F8246D7}"/>
    <cellStyle name="Normal 4 2 2 4 6" xfId="910" xr:uid="{C354BD87-4922-47C2-BAA1-A58FED81B988}"/>
    <cellStyle name="Normal 4 2 2 5" xfId="108" xr:uid="{3287461E-D42F-4DF9-8019-7C31A7D5FBAC}"/>
    <cellStyle name="Normal 4 2 2 5 2" xfId="276" xr:uid="{F6D45E55-D30D-4F2C-B011-C1D51C754DE4}"/>
    <cellStyle name="Normal 4 2 2 5 2 2" xfId="698" xr:uid="{08E548DF-407B-402D-9754-9941EFB97268}"/>
    <cellStyle name="Normal 4 2 2 5 3" xfId="530" xr:uid="{5506D408-4519-441E-B8CE-851BEC433568}"/>
    <cellStyle name="Normal 4 2 2 6" xfId="193" xr:uid="{E9EF7C54-BAB3-4BB1-AA85-397F9E3658E9}"/>
    <cellStyle name="Normal 4 2 2 6 2" xfId="615" xr:uid="{76EE52EE-9E35-4B47-8118-4FCCD3780FE7}"/>
    <cellStyle name="Normal 4 2 2 7" xfId="362" xr:uid="{4F49FDCA-9DEE-4515-AD44-12EDAB00C967}"/>
    <cellStyle name="Normal 4 2 2 7 2" xfId="783" xr:uid="{A3401774-E2DD-42DB-A3DD-46D86F053195}"/>
    <cellStyle name="Normal 4 2 2 8" xfId="447" xr:uid="{C8A0EAEF-47AD-4FDE-9359-9F292CBCEBBC}"/>
    <cellStyle name="Normal 4 2 2 9" xfId="868" xr:uid="{50765F29-2BE7-4329-B9ED-A460CFD9D4B3}"/>
    <cellStyle name="Normal 4 2 3" xfId="25" xr:uid="{E46ED562-8609-48F8-965F-12F42EC31930}"/>
    <cellStyle name="Normal 4 2 3 2" xfId="34" xr:uid="{2D1E7F6B-492F-4480-AEBE-6BD04EDABC22}"/>
    <cellStyle name="Normal 4 2 3 2 2" xfId="55" xr:uid="{5AC09640-F409-4028-89FF-A8151A7CD1F5}"/>
    <cellStyle name="Normal 4 2 3 2 2 2" xfId="99" xr:uid="{50BA33B7-0290-4C7B-8885-85FAE05A36C7}"/>
    <cellStyle name="Normal 4 2 3 2 2 2 2" xfId="182" xr:uid="{14D17AAE-B672-47BA-85AD-E7AC922C1AD7}"/>
    <cellStyle name="Normal 4 2 3 2 2 2 2 2" xfId="350" xr:uid="{75B4F915-3352-460C-82AF-CE73AB6126D9}"/>
    <cellStyle name="Normal 4 2 3 2 2 2 2 2 2" xfId="772" xr:uid="{4DF0398D-B3AB-4092-BA18-8B44DB57B732}"/>
    <cellStyle name="Normal 4 2 3 2 2 2 2 3" xfId="604" xr:uid="{5A3DEA90-D8AA-4437-839A-8268910342EC}"/>
    <cellStyle name="Normal 4 2 3 2 2 2 3" xfId="267" xr:uid="{7008DE1B-0E85-42BB-8D69-AB92D2F04A1D}"/>
    <cellStyle name="Normal 4 2 3 2 2 2 3 2" xfId="689" xr:uid="{F5740A38-E151-4170-B67E-DE9FC559324A}"/>
    <cellStyle name="Normal 4 2 3 2 2 2 4" xfId="436" xr:uid="{45418178-4392-4564-A6DA-51AAF43952CA}"/>
    <cellStyle name="Normal 4 2 3 2 2 2 4 2" xfId="857" xr:uid="{E93D0A10-7D9C-4BCB-90E6-7B1A208A7894}"/>
    <cellStyle name="Normal 4 2 3 2 2 2 5" xfId="521" xr:uid="{C5E8E14A-A794-4CF1-988E-7CA6E284E4F8}"/>
    <cellStyle name="Normal 4 2 3 2 2 2 6" xfId="942" xr:uid="{5DB77FD1-EB22-47E3-8CED-DBE0AF784CCF}"/>
    <cellStyle name="Normal 4 2 3 2 2 3" xfId="140" xr:uid="{FECCAD7E-B975-41EB-8950-C53A599D5D1E}"/>
    <cellStyle name="Normal 4 2 3 2 2 3 2" xfId="308" xr:uid="{AF09E49F-1FF4-4501-8006-BABA0B59B959}"/>
    <cellStyle name="Normal 4 2 3 2 2 3 2 2" xfId="730" xr:uid="{5DADE3E7-D57C-4AC2-8F94-D7A117B55B84}"/>
    <cellStyle name="Normal 4 2 3 2 2 3 3" xfId="562" xr:uid="{E9C9C212-0156-4CE2-942C-5F58F4E300C2}"/>
    <cellStyle name="Normal 4 2 3 2 2 4" xfId="225" xr:uid="{5283665A-A6F0-414E-95D2-3047BA5405F5}"/>
    <cellStyle name="Normal 4 2 3 2 2 4 2" xfId="647" xr:uid="{C3675A0E-742A-46C7-BF32-132885FD551A}"/>
    <cellStyle name="Normal 4 2 3 2 2 5" xfId="394" xr:uid="{D315E1D2-ED0F-4515-B0A9-BB55C042BE73}"/>
    <cellStyle name="Normal 4 2 3 2 2 5 2" xfId="815" xr:uid="{A2248D19-E125-40CD-BAFC-984B21200FA5}"/>
    <cellStyle name="Normal 4 2 3 2 2 6" xfId="479" xr:uid="{D250075E-C958-4548-AFAD-F25981E7E9C2}"/>
    <cellStyle name="Normal 4 2 3 2 2 7" xfId="900" xr:uid="{841B0011-ACC8-444B-AC13-0D4BE9C7CA4D}"/>
    <cellStyle name="Normal 4 2 3 2 3" xfId="79" xr:uid="{83EEFB02-6CB6-4A1A-A07B-A26605FA7826}"/>
    <cellStyle name="Normal 4 2 3 2 3 2" xfId="162" xr:uid="{3687D90B-ED4B-4A70-9F97-9AB295FC9A86}"/>
    <cellStyle name="Normal 4 2 3 2 3 2 2" xfId="330" xr:uid="{9F6FCEE0-63AE-4A2B-943A-5059F1CB2339}"/>
    <cellStyle name="Normal 4 2 3 2 3 2 2 2" xfId="752" xr:uid="{7280EF04-F891-4FD7-BA10-7A319914C2A2}"/>
    <cellStyle name="Normal 4 2 3 2 3 2 3" xfId="584" xr:uid="{FDADB250-ED81-4291-AE60-ED15AFF464B1}"/>
    <cellStyle name="Normal 4 2 3 2 3 3" xfId="247" xr:uid="{479022DB-94E4-4B80-A3A6-7966B26F67BD}"/>
    <cellStyle name="Normal 4 2 3 2 3 3 2" xfId="669" xr:uid="{4E9208DF-14DB-4B2A-AA8B-CB449350320A}"/>
    <cellStyle name="Normal 4 2 3 2 3 4" xfId="416" xr:uid="{F097379C-C30E-43EA-B59F-6F0BE8F44CB7}"/>
    <cellStyle name="Normal 4 2 3 2 3 4 2" xfId="837" xr:uid="{BFE8AE2B-FF00-4255-9AF7-646CEDB57B30}"/>
    <cellStyle name="Normal 4 2 3 2 3 5" xfId="501" xr:uid="{A83DD731-7709-412F-A25C-C58C88C17431}"/>
    <cellStyle name="Normal 4 2 3 2 3 6" xfId="922" xr:uid="{9A69A575-8CFD-4E61-8ECB-D53AC0F6803A}"/>
    <cellStyle name="Normal 4 2 3 2 4" xfId="120" xr:uid="{72D1F77E-7F2E-42FB-86AC-A230A8A93A67}"/>
    <cellStyle name="Normal 4 2 3 2 4 2" xfId="288" xr:uid="{692C259F-F9A4-4DAD-9CC1-8A3507C1E706}"/>
    <cellStyle name="Normal 4 2 3 2 4 2 2" xfId="710" xr:uid="{6B740539-92FC-402F-92D8-19E52B55D068}"/>
    <cellStyle name="Normal 4 2 3 2 4 3" xfId="542" xr:uid="{33DC502B-A589-4AA7-822F-94282217D772}"/>
    <cellStyle name="Normal 4 2 3 2 5" xfId="205" xr:uid="{54C4301B-0E83-4997-9686-738726A9F14F}"/>
    <cellStyle name="Normal 4 2 3 2 5 2" xfId="627" xr:uid="{C292D9F7-BF56-4190-A54A-C6B7477C393C}"/>
    <cellStyle name="Normal 4 2 3 2 6" xfId="374" xr:uid="{6E23D956-9AC5-4508-90A5-43CF0CA48F2C}"/>
    <cellStyle name="Normal 4 2 3 2 6 2" xfId="795" xr:uid="{BD655012-2E6D-4D86-8E31-BF287118B92C}"/>
    <cellStyle name="Normal 4 2 3 2 7" xfId="459" xr:uid="{D40E6E87-DDEF-455F-8FBD-471C3DC4D243}"/>
    <cellStyle name="Normal 4 2 3 2 8" xfId="880" xr:uid="{CBD759D7-9616-4E35-8D9E-99528B80AF35}"/>
    <cellStyle name="Normal 4 2 3 3" xfId="46" xr:uid="{70409953-D375-4950-8274-EA8024ADA25C}"/>
    <cellStyle name="Normal 4 2 3 3 2" xfId="90" xr:uid="{E104E0F7-8FF6-475D-8694-55F86882B46D}"/>
    <cellStyle name="Normal 4 2 3 3 2 2" xfId="173" xr:uid="{8E2E3B41-D291-459B-A116-D0400F31B8C3}"/>
    <cellStyle name="Normal 4 2 3 3 2 2 2" xfId="341" xr:uid="{A22264F7-59A3-4ADA-AAC2-39C889091B13}"/>
    <cellStyle name="Normal 4 2 3 3 2 2 2 2" xfId="763" xr:uid="{681217EC-8BC2-407C-8CF7-330C4FCB17E1}"/>
    <cellStyle name="Normal 4 2 3 3 2 2 3" xfId="595" xr:uid="{5D57133F-8D2D-4850-A6A6-7D20D4F94217}"/>
    <cellStyle name="Normal 4 2 3 3 2 3" xfId="258" xr:uid="{E759DD61-C285-4E73-80A4-816AD89CCAB4}"/>
    <cellStyle name="Normal 4 2 3 3 2 3 2" xfId="680" xr:uid="{EFB74230-303F-4D96-9C6B-D51B047084FE}"/>
    <cellStyle name="Normal 4 2 3 3 2 4" xfId="427" xr:uid="{A51354ED-3E2E-44C7-A4E3-54FD266589F7}"/>
    <cellStyle name="Normal 4 2 3 3 2 4 2" xfId="848" xr:uid="{95196B4E-1645-4EE9-BBC5-F2D8C9C3EC67}"/>
    <cellStyle name="Normal 4 2 3 3 2 5" xfId="512" xr:uid="{538742ED-BF9D-4955-9FE7-C89F4AADAAC8}"/>
    <cellStyle name="Normal 4 2 3 3 2 6" xfId="933" xr:uid="{E94D832E-5E78-4934-AAE0-B4E27E1F3F74}"/>
    <cellStyle name="Normal 4 2 3 3 3" xfId="131" xr:uid="{3853F476-9084-416C-9E71-1B3ED3C4997D}"/>
    <cellStyle name="Normal 4 2 3 3 3 2" xfId="299" xr:uid="{9FD98AFB-DD8E-4F89-BE8E-1993B37336FD}"/>
    <cellStyle name="Normal 4 2 3 3 3 2 2" xfId="721" xr:uid="{79AF7516-2882-4DA2-8D99-A286FCFFEC9D}"/>
    <cellStyle name="Normal 4 2 3 3 3 3" xfId="553" xr:uid="{3EB9B0BA-CFE0-490D-9867-71A812CE1B32}"/>
    <cellStyle name="Normal 4 2 3 3 4" xfId="216" xr:uid="{D5B2EF76-2D6A-46A5-8043-722EB4058C05}"/>
    <cellStyle name="Normal 4 2 3 3 4 2" xfId="638" xr:uid="{13E98757-CFF0-4978-A00F-A20B79ED80AD}"/>
    <cellStyle name="Normal 4 2 3 3 5" xfId="385" xr:uid="{0751756D-CC00-4868-8464-650B98292ACC}"/>
    <cellStyle name="Normal 4 2 3 3 5 2" xfId="806" xr:uid="{019ADDB3-C775-4F97-AAD8-1D65070907AC}"/>
    <cellStyle name="Normal 4 2 3 3 6" xfId="470" xr:uid="{39517705-7D5D-49BC-B88E-142FCDCBBB76}"/>
    <cellStyle name="Normal 4 2 3 3 7" xfId="891" xr:uid="{A45FB5A6-D846-41BA-99FF-FF1058992C67}"/>
    <cellStyle name="Normal 4 2 3 4" xfId="70" xr:uid="{43A3472E-D2A2-4590-AE93-08FE19320B1B}"/>
    <cellStyle name="Normal 4 2 3 4 2" xfId="153" xr:uid="{E3039AE7-130D-4A8A-8C81-46ED012D44D2}"/>
    <cellStyle name="Normal 4 2 3 4 2 2" xfId="321" xr:uid="{6FFF2C32-2E35-4A9B-B804-99BEAEB70288}"/>
    <cellStyle name="Normal 4 2 3 4 2 2 2" xfId="743" xr:uid="{0F04CD3D-FE32-43CE-AC5B-AF57862358AF}"/>
    <cellStyle name="Normal 4 2 3 4 2 3" xfId="575" xr:uid="{AF720730-70DF-4A48-B05D-9D092C0ED6BC}"/>
    <cellStyle name="Normal 4 2 3 4 3" xfId="238" xr:uid="{63DF9AA0-5A90-46D7-9443-9D6607D69078}"/>
    <cellStyle name="Normal 4 2 3 4 3 2" xfId="660" xr:uid="{BF93759B-7385-4E55-A2DA-6C12B13C5AAD}"/>
    <cellStyle name="Normal 4 2 3 4 4" xfId="407" xr:uid="{14BFD3DA-4429-46D6-947D-CEDFC818F6DD}"/>
    <cellStyle name="Normal 4 2 3 4 4 2" xfId="828" xr:uid="{E3093936-9A60-4BE5-A3A4-E1CAD8AC5DE8}"/>
    <cellStyle name="Normal 4 2 3 4 5" xfId="492" xr:uid="{F1901FC4-F995-4CAE-91D5-ADC4DCE6A274}"/>
    <cellStyle name="Normal 4 2 3 4 6" xfId="913" xr:uid="{C162ADC1-FBE7-4008-AC37-F21260154046}"/>
    <cellStyle name="Normal 4 2 3 5" xfId="111" xr:uid="{95DF9108-FFF1-4ABF-9B36-9C14F9ED0AA9}"/>
    <cellStyle name="Normal 4 2 3 5 2" xfId="279" xr:uid="{D89154A2-C6CE-4946-B110-23F9BED4DABA}"/>
    <cellStyle name="Normal 4 2 3 5 2 2" xfId="701" xr:uid="{977A16D4-5796-4077-A8F4-4FF3674DCAF6}"/>
    <cellStyle name="Normal 4 2 3 5 3" xfId="533" xr:uid="{2E64095E-ACBE-494C-81DA-71ED0B3A2D7A}"/>
    <cellStyle name="Normal 4 2 3 6" xfId="196" xr:uid="{75E35D88-A424-4C5F-8A86-7B791042DCF8}"/>
    <cellStyle name="Normal 4 2 3 6 2" xfId="618" xr:uid="{F08156F0-2717-4AF6-A684-D7279D013BC1}"/>
    <cellStyle name="Normal 4 2 3 7" xfId="365" xr:uid="{A6CA1748-5AD3-4100-9E15-0E5B675DF2C4}"/>
    <cellStyle name="Normal 4 2 3 7 2" xfId="786" xr:uid="{D7C7C2A3-ED5B-44B9-90E9-F243533E05CD}"/>
    <cellStyle name="Normal 4 2 3 8" xfId="450" xr:uid="{73616464-C6EA-4900-88BC-FF3AB9852718}"/>
    <cellStyle name="Normal 4 2 3 9" xfId="871" xr:uid="{FE824F6E-C841-4B18-B50C-759F0C58ED1F}"/>
    <cellStyle name="Normal 4 2 4" xfId="28" xr:uid="{3C533128-60E0-4C87-BFB4-B9B1537942DF}"/>
    <cellStyle name="Normal 4 2 4 2" xfId="49" xr:uid="{6F2F8DB5-5114-453F-A0B6-23D12718D2B4}"/>
    <cellStyle name="Normal 4 2 4 2 2" xfId="93" xr:uid="{83842639-5366-4F83-83C7-5CCAAD42BB55}"/>
    <cellStyle name="Normal 4 2 4 2 2 2" xfId="176" xr:uid="{F423A93F-E4DC-4016-8FAD-E506E7BBF346}"/>
    <cellStyle name="Normal 4 2 4 2 2 2 2" xfId="344" xr:uid="{1983455B-688C-43BC-A745-B74CF3C75515}"/>
    <cellStyle name="Normal 4 2 4 2 2 2 2 2" xfId="766" xr:uid="{7EB5A9DB-E33B-41A7-98F1-2E8D9F18547B}"/>
    <cellStyle name="Normal 4 2 4 2 2 2 3" xfId="598" xr:uid="{F721BFC9-F69E-422D-B45E-61A9D09E64EF}"/>
    <cellStyle name="Normal 4 2 4 2 2 3" xfId="261" xr:uid="{88649D19-C741-417A-9675-F38BCC2883BC}"/>
    <cellStyle name="Normal 4 2 4 2 2 3 2" xfId="683" xr:uid="{765C2EAB-FD4C-44A3-A8E4-99FD86220116}"/>
    <cellStyle name="Normal 4 2 4 2 2 4" xfId="430" xr:uid="{D2385CD5-8BA2-42DE-A3D3-5C67F7826104}"/>
    <cellStyle name="Normal 4 2 4 2 2 4 2" xfId="851" xr:uid="{F5F960C9-FB0A-4278-AC5A-EC34A7839E11}"/>
    <cellStyle name="Normal 4 2 4 2 2 5" xfId="515" xr:uid="{6B795C63-359C-4262-ABE6-3BB7B4EB5B35}"/>
    <cellStyle name="Normal 4 2 4 2 2 6" xfId="936" xr:uid="{557DD347-2731-4AB0-83E4-16A458B0396C}"/>
    <cellStyle name="Normal 4 2 4 2 3" xfId="134" xr:uid="{01583073-F1A2-4EB1-B480-5ADFE4D7A36E}"/>
    <cellStyle name="Normal 4 2 4 2 3 2" xfId="302" xr:uid="{741D49AF-F329-4595-A694-275DD71D6594}"/>
    <cellStyle name="Normal 4 2 4 2 3 2 2" xfId="724" xr:uid="{BC7643A1-C9F9-4760-8F92-46BAFD1CAAB0}"/>
    <cellStyle name="Normal 4 2 4 2 3 3" xfId="556" xr:uid="{AC8DB53B-7F78-42CF-8803-8E0E7E95EB7B}"/>
    <cellStyle name="Normal 4 2 4 2 4" xfId="219" xr:uid="{05593EBD-2723-4CAF-B987-725D757ABF66}"/>
    <cellStyle name="Normal 4 2 4 2 4 2" xfId="641" xr:uid="{9983194E-2406-450B-A5A8-8A660C537FCF}"/>
    <cellStyle name="Normal 4 2 4 2 5" xfId="388" xr:uid="{8B63236B-1855-47B9-B5EC-07B4D45973E6}"/>
    <cellStyle name="Normal 4 2 4 2 5 2" xfId="809" xr:uid="{0146103F-D898-4EA7-849C-D9E49727963D}"/>
    <cellStyle name="Normal 4 2 4 2 6" xfId="473" xr:uid="{3E2133F2-EAA6-4793-8D06-EA19A4CD561A}"/>
    <cellStyle name="Normal 4 2 4 2 7" xfId="894" xr:uid="{3BCB5A19-976E-43E6-8F71-353F477C6E39}"/>
    <cellStyle name="Normal 4 2 4 3" xfId="73" xr:uid="{7CA3128F-3C52-4076-ACA1-AC7531772524}"/>
    <cellStyle name="Normal 4 2 4 3 2" xfId="156" xr:uid="{A4E6CD3B-4B0F-4AD8-B014-0558F00BC64B}"/>
    <cellStyle name="Normal 4 2 4 3 2 2" xfId="324" xr:uid="{8078B5A6-ECE5-4F8E-84AD-BDF4D1B329F2}"/>
    <cellStyle name="Normal 4 2 4 3 2 2 2" xfId="746" xr:uid="{D87CB338-BAF5-47D3-9F91-92BB05AD213E}"/>
    <cellStyle name="Normal 4 2 4 3 2 3" xfId="578" xr:uid="{127C1042-F3ED-4137-91CE-EA00772F878C}"/>
    <cellStyle name="Normal 4 2 4 3 3" xfId="241" xr:uid="{49CBF52C-B417-4F8F-BE61-D27E63B533A0}"/>
    <cellStyle name="Normal 4 2 4 3 3 2" xfId="663" xr:uid="{A9DECCFA-FFA3-4013-B725-8EBA75CC0B72}"/>
    <cellStyle name="Normal 4 2 4 3 4" xfId="410" xr:uid="{73AD1978-5785-40B1-958D-0545C0E22EE3}"/>
    <cellStyle name="Normal 4 2 4 3 4 2" xfId="831" xr:uid="{AE57E892-2ABB-4651-929B-7697137F8B50}"/>
    <cellStyle name="Normal 4 2 4 3 5" xfId="495" xr:uid="{55CFAF0C-A7A9-45CB-9C86-2450D5500710}"/>
    <cellStyle name="Normal 4 2 4 3 6" xfId="916" xr:uid="{BC3D2458-9272-4480-B3E7-E0C057FC799A}"/>
    <cellStyle name="Normal 4 2 4 4" xfId="114" xr:uid="{AF04258F-F33F-4477-BB29-AD140B575E70}"/>
    <cellStyle name="Normal 4 2 4 4 2" xfId="282" xr:uid="{730A80E3-381D-42E6-9045-F29108C08A60}"/>
    <cellStyle name="Normal 4 2 4 4 2 2" xfId="704" xr:uid="{C950DE57-B96D-4FF3-B89E-3062DD1ABF19}"/>
    <cellStyle name="Normal 4 2 4 4 3" xfId="536" xr:uid="{4938EF2A-EEDD-4715-9B23-8558F133711C}"/>
    <cellStyle name="Normal 4 2 4 5" xfId="199" xr:uid="{55F3E852-81B0-4287-90A1-425891382635}"/>
    <cellStyle name="Normal 4 2 4 5 2" xfId="621" xr:uid="{123B6B2F-9AE7-4770-913D-9FB2D89A16B3}"/>
    <cellStyle name="Normal 4 2 4 6" xfId="368" xr:uid="{38CD06DA-DA32-4BEF-91DC-17A4AC4306D6}"/>
    <cellStyle name="Normal 4 2 4 6 2" xfId="789" xr:uid="{61D17D6A-89BA-40BA-BA5C-4BDA1FB0B31F}"/>
    <cellStyle name="Normal 4 2 4 7" xfId="453" xr:uid="{0A51B9B4-2844-4687-9111-5342E9BC9733}"/>
    <cellStyle name="Normal 4 2 4 8" xfId="874" xr:uid="{EAAC7F20-1A40-46FC-895D-C9FB3AC7EAB2}"/>
    <cellStyle name="Normal 4 2 5" xfId="39" xr:uid="{899473FA-78BC-4055-A69B-A6F6D5E28B82}"/>
    <cellStyle name="Normal 4 2 5 2" xfId="84" xr:uid="{D405C36D-E2B4-4E24-9CEB-49361E5BA94C}"/>
    <cellStyle name="Normal 4 2 5 2 2" xfId="167" xr:uid="{D7FB2D79-E8B7-441D-9911-93E1103ACBB6}"/>
    <cellStyle name="Normal 4 2 5 2 2 2" xfId="335" xr:uid="{4E46A04C-0AD7-46CD-A33F-96616545852D}"/>
    <cellStyle name="Normal 4 2 5 2 2 2 2" xfId="757" xr:uid="{D473D5F8-6DAF-477A-937D-555D3D20856A}"/>
    <cellStyle name="Normal 4 2 5 2 2 3" xfId="589" xr:uid="{4AD287B8-A719-4C25-9552-CAE3DB115B5F}"/>
    <cellStyle name="Normal 4 2 5 2 3" xfId="252" xr:uid="{5B4B86CB-3C70-4D04-ABC5-B5E4A7B4F85E}"/>
    <cellStyle name="Normal 4 2 5 2 3 2" xfId="674" xr:uid="{70C80B9B-5188-4E08-9A52-323EB80D8D01}"/>
    <cellStyle name="Normal 4 2 5 2 4" xfId="421" xr:uid="{D9A22AF4-29DF-4ED0-AF86-F95B2EF4928A}"/>
    <cellStyle name="Normal 4 2 5 2 4 2" xfId="842" xr:uid="{D9973FE5-4152-4B2A-BBD7-8139C7C2AC79}"/>
    <cellStyle name="Normal 4 2 5 2 5" xfId="506" xr:uid="{5A7090CC-34ED-4E78-BF53-E382D5CA8CCD}"/>
    <cellStyle name="Normal 4 2 5 2 6" xfId="927" xr:uid="{95397E6C-7A12-461A-9A97-4DFCEB49BF57}"/>
    <cellStyle name="Normal 4 2 5 3" xfId="125" xr:uid="{431D4D4C-5F71-4347-9F6D-921E94B70119}"/>
    <cellStyle name="Normal 4 2 5 3 2" xfId="293" xr:uid="{FDA9F4B1-2E6C-42C5-AEE7-5FA4EB9502AD}"/>
    <cellStyle name="Normal 4 2 5 3 2 2" xfId="715" xr:uid="{3912DE99-0D08-428F-86ED-311F918E79D4}"/>
    <cellStyle name="Normal 4 2 5 3 3" xfId="547" xr:uid="{63E6623B-0A43-4915-9D24-BB1185804119}"/>
    <cellStyle name="Normal 4 2 5 4" xfId="210" xr:uid="{884C1135-D355-4855-87A4-0023D9891ABC}"/>
    <cellStyle name="Normal 4 2 5 4 2" xfId="632" xr:uid="{F6694425-A9BD-42EE-AEB0-DA92D9437D7E}"/>
    <cellStyle name="Normal 4 2 5 5" xfId="379" xr:uid="{3CC6A50A-4C5A-41F5-B9DC-8A581BD0E264}"/>
    <cellStyle name="Normal 4 2 5 5 2" xfId="800" xr:uid="{FF72CC13-8E0B-400D-90CA-1764A843451D}"/>
    <cellStyle name="Normal 4 2 5 6" xfId="464" xr:uid="{A5CDDCD1-7356-4F43-80E4-523665C47EEC}"/>
    <cellStyle name="Normal 4 2 5 7" xfId="885" xr:uid="{4A5FED39-41A1-4382-B95B-9AEFDF4469A9}"/>
    <cellStyle name="Normal 4 2 6" xfId="64" xr:uid="{AA353EF3-EF79-43A1-8FB0-EC69B5EB9FD5}"/>
    <cellStyle name="Normal 4 2 6 2" xfId="147" xr:uid="{141CA4C7-9E2E-4F95-89FA-319684487597}"/>
    <cellStyle name="Normal 4 2 6 2 2" xfId="315" xr:uid="{D7C7A4B8-04F3-47AB-9799-C3682EB8946B}"/>
    <cellStyle name="Normal 4 2 6 2 2 2" xfId="737" xr:uid="{64AE0069-590C-4E98-9F78-FB8B46F3D2AD}"/>
    <cellStyle name="Normal 4 2 6 2 3" xfId="569" xr:uid="{F2C2BB3F-6AE2-476D-B952-FB79CAE396C2}"/>
    <cellStyle name="Normal 4 2 6 3" xfId="232" xr:uid="{7B263FBD-A9FE-40BA-BE45-8D5F5D6DA7F3}"/>
    <cellStyle name="Normal 4 2 6 3 2" xfId="654" xr:uid="{9774832F-DC4E-4A13-8C23-C41D207B3F64}"/>
    <cellStyle name="Normal 4 2 6 4" xfId="401" xr:uid="{55168948-DAA9-4F50-9C68-79794CCD6A86}"/>
    <cellStyle name="Normal 4 2 6 4 2" xfId="822" xr:uid="{3766C195-31E7-42E9-8016-622CC2451A36}"/>
    <cellStyle name="Normal 4 2 6 5" xfId="486" xr:uid="{ED3771DC-B917-4803-85F7-973A7068035A}"/>
    <cellStyle name="Normal 4 2 6 6" xfId="907" xr:uid="{DB7CB30E-CEA7-403C-8B46-F5A1A2D24761}"/>
    <cellStyle name="Normal 4 2 7" xfId="105" xr:uid="{8F013C34-4508-4BC2-BCA3-712B2D8D8C07}"/>
    <cellStyle name="Normal 4 2 7 2" xfId="273" xr:uid="{4964E662-9813-428D-8B3A-CBE421C1CE26}"/>
    <cellStyle name="Normal 4 2 7 2 2" xfId="695" xr:uid="{18E62676-BC51-4179-9642-87C01BBEDDA6}"/>
    <cellStyle name="Normal 4 2 7 3" xfId="527" xr:uid="{5B81A55B-8DC6-4427-900C-05A42A014275}"/>
    <cellStyle name="Normal 4 2 8" xfId="190" xr:uid="{CDEF180A-46FA-4A4B-94E8-202A035269F4}"/>
    <cellStyle name="Normal 4 2 8 2" xfId="612" xr:uid="{D466D8A6-1016-494F-AF44-A02BAABCFBF3}"/>
    <cellStyle name="Normal 4 2 9" xfId="359" xr:uid="{06383345-FC74-4A68-8469-CAB83D13F7DC}"/>
    <cellStyle name="Normal 4 2 9 2" xfId="780" xr:uid="{BB20EB68-75CB-4C4C-A8B2-1084C3E162F9}"/>
    <cellStyle name="Normal 4 3" xfId="20" xr:uid="{2CEB816F-D899-4CC6-82DA-AB8D3B8F2EE0}"/>
    <cellStyle name="Normal 4 3 2" xfId="29" xr:uid="{BF8401CA-9EF9-4516-BE89-DFE1A0598AEB}"/>
    <cellStyle name="Normal 4 3 2 2" xfId="50" xr:uid="{09BCA4D8-C341-44FC-8F26-B07D9DCA9D65}"/>
    <cellStyle name="Normal 4 3 2 2 2" xfId="94" xr:uid="{E80AEB48-DE55-4EAF-8BAC-ACB5C5EADC07}"/>
    <cellStyle name="Normal 4 3 2 2 2 2" xfId="177" xr:uid="{A8C94403-EBB4-4E12-BD31-2D773AC3A755}"/>
    <cellStyle name="Normal 4 3 2 2 2 2 2" xfId="345" xr:uid="{0D30B2B9-E871-4FB0-988F-ED11C8F2400B}"/>
    <cellStyle name="Normal 4 3 2 2 2 2 2 2" xfId="767" xr:uid="{1BFF2912-1B21-469E-AAFB-B514E14D5E1A}"/>
    <cellStyle name="Normal 4 3 2 2 2 2 3" xfId="599" xr:uid="{9E6968C6-5896-445E-8991-FB2FACD9544D}"/>
    <cellStyle name="Normal 4 3 2 2 2 3" xfId="262" xr:uid="{EDB024E3-51E6-4643-8ACB-FFB95655512B}"/>
    <cellStyle name="Normal 4 3 2 2 2 3 2" xfId="684" xr:uid="{4A4B5A00-BAC0-4B40-AD56-E705690BBC4F}"/>
    <cellStyle name="Normal 4 3 2 2 2 4" xfId="431" xr:uid="{D2CA098C-0339-4DEA-B5EE-CED38A924312}"/>
    <cellStyle name="Normal 4 3 2 2 2 4 2" xfId="852" xr:uid="{3C8504EE-A587-4BDC-B83A-DA914318CBE9}"/>
    <cellStyle name="Normal 4 3 2 2 2 5" xfId="516" xr:uid="{6198AA47-0472-4E5A-9097-79B2AFE1F47B}"/>
    <cellStyle name="Normal 4 3 2 2 2 6" xfId="937" xr:uid="{268F1966-DA46-433B-96D5-3934C88F650D}"/>
    <cellStyle name="Normal 4 3 2 2 3" xfId="135" xr:uid="{43DF96D2-C2DC-4058-AE3F-2FCDD2695CB9}"/>
    <cellStyle name="Normal 4 3 2 2 3 2" xfId="303" xr:uid="{589247F1-8A83-4EE2-80AB-FEB56D0DD4D1}"/>
    <cellStyle name="Normal 4 3 2 2 3 2 2" xfId="725" xr:uid="{E82F3F34-7C60-496F-A9CB-813C8C23D802}"/>
    <cellStyle name="Normal 4 3 2 2 3 3" xfId="557" xr:uid="{60BF72B6-9722-40EB-92AE-231955DBDCC0}"/>
    <cellStyle name="Normal 4 3 2 2 4" xfId="220" xr:uid="{A068055C-D314-4A0E-9BDB-FD9A98E6CFE7}"/>
    <cellStyle name="Normal 4 3 2 2 4 2" xfId="642" xr:uid="{8D0FD507-81F7-4C3C-AB73-3D03F9933029}"/>
    <cellStyle name="Normal 4 3 2 2 5" xfId="389" xr:uid="{09D6697F-0843-49EB-BEFA-3C3D770A22B4}"/>
    <cellStyle name="Normal 4 3 2 2 5 2" xfId="810" xr:uid="{E8836385-02D5-4032-9CBB-4ADF46EABC36}"/>
    <cellStyle name="Normal 4 3 2 2 6" xfId="474" xr:uid="{AD84A496-1937-49DA-B7F0-AD345416C51A}"/>
    <cellStyle name="Normal 4 3 2 2 7" xfId="895" xr:uid="{C59EC0C2-F413-4A66-BD89-547E341CED3A}"/>
    <cellStyle name="Normal 4 3 2 3" xfId="74" xr:uid="{0F01C7BB-2841-4515-B4A0-97B0EDDBA145}"/>
    <cellStyle name="Normal 4 3 2 3 2" xfId="157" xr:uid="{59BEA353-D0CB-41EB-A245-7B9FCF4D6629}"/>
    <cellStyle name="Normal 4 3 2 3 2 2" xfId="325" xr:uid="{9062BF52-97ED-4FE6-9424-A7B6AEB0FFE8}"/>
    <cellStyle name="Normal 4 3 2 3 2 2 2" xfId="747" xr:uid="{78E3A030-7A31-4A00-BBE5-5797B9B41855}"/>
    <cellStyle name="Normal 4 3 2 3 2 3" xfId="579" xr:uid="{F53F5A92-B36D-48A0-86D7-4F57AA12CAB0}"/>
    <cellStyle name="Normal 4 3 2 3 3" xfId="242" xr:uid="{17760E12-F176-4ED0-8B21-776C9D0CED02}"/>
    <cellStyle name="Normal 4 3 2 3 3 2" xfId="664" xr:uid="{732C22EA-97F8-4884-B5F1-F88E64F9AEE2}"/>
    <cellStyle name="Normal 4 3 2 3 4" xfId="411" xr:uid="{17A62FB9-623C-42AA-8582-95D78DA71B86}"/>
    <cellStyle name="Normal 4 3 2 3 4 2" xfId="832" xr:uid="{0CC63ED5-5903-4731-8186-45968EEC57BA}"/>
    <cellStyle name="Normal 4 3 2 3 5" xfId="496" xr:uid="{52DBD12B-AF0B-4C35-B2FB-378F9C7AF156}"/>
    <cellStyle name="Normal 4 3 2 3 6" xfId="917" xr:uid="{BC77CED2-694B-476A-A632-4C3BC06EBDE5}"/>
    <cellStyle name="Normal 4 3 2 4" xfId="115" xr:uid="{0C72B52F-8251-421E-A7B4-B0C4CDB72C9D}"/>
    <cellStyle name="Normal 4 3 2 4 2" xfId="283" xr:uid="{ABF46F7F-CF62-44DB-869D-10BD21A59605}"/>
    <cellStyle name="Normal 4 3 2 4 2 2" xfId="705" xr:uid="{974178EC-B592-4DCE-826D-A59A1D1EBA1A}"/>
    <cellStyle name="Normal 4 3 2 4 3" xfId="537" xr:uid="{5F752179-743B-435B-8135-B69D94FDD425}"/>
    <cellStyle name="Normal 4 3 2 5" xfId="200" xr:uid="{12A70CCF-061F-4CE1-A0BB-C70A1BEF2750}"/>
    <cellStyle name="Normal 4 3 2 5 2" xfId="622" xr:uid="{03838C07-AE01-476C-A21B-D71365F0BB9C}"/>
    <cellStyle name="Normal 4 3 2 6" xfId="369" xr:uid="{89A2AEA6-19FC-40EF-AFA6-19DF55CEE9DF}"/>
    <cellStyle name="Normal 4 3 2 6 2" xfId="790" xr:uid="{457E2532-579F-4B15-A222-64389F0A9D95}"/>
    <cellStyle name="Normal 4 3 2 7" xfId="454" xr:uid="{9B56EC44-2BB0-4D8D-96A0-E11C5686A32D}"/>
    <cellStyle name="Normal 4 3 2 8" xfId="875" xr:uid="{EB9744CA-A00C-4E9C-9E2B-63EBEBDDE574}"/>
    <cellStyle name="Normal 4 3 3" xfId="41" xr:uid="{0F9B3DB0-CAC9-489E-96F1-6736106318C2}"/>
    <cellStyle name="Normal 4 3 3 2" xfId="85" xr:uid="{3F9CC0BE-0C46-4581-B768-931492A4867E}"/>
    <cellStyle name="Normal 4 3 3 2 2" xfId="168" xr:uid="{4C1D1D43-6552-498A-B051-DE068476699E}"/>
    <cellStyle name="Normal 4 3 3 2 2 2" xfId="336" xr:uid="{7CE8AAE1-7427-4C7B-9020-AFCE49CAD525}"/>
    <cellStyle name="Normal 4 3 3 2 2 2 2" xfId="758" xr:uid="{379A9465-9C05-4ED0-A417-7F99FAD93B41}"/>
    <cellStyle name="Normal 4 3 3 2 2 3" xfId="590" xr:uid="{0DE78CFC-5A5C-4C67-AD2E-F8DF9015AC21}"/>
    <cellStyle name="Normal 4 3 3 2 3" xfId="253" xr:uid="{D0088A3F-B3DE-4CD4-9ED5-173A677D2408}"/>
    <cellStyle name="Normal 4 3 3 2 3 2" xfId="675" xr:uid="{5EEA5A9E-01B8-4D2D-95FE-6680099DD3DF}"/>
    <cellStyle name="Normal 4 3 3 2 4" xfId="422" xr:uid="{5EA983B7-2458-42AD-83D4-F9489F1E4FC9}"/>
    <cellStyle name="Normal 4 3 3 2 4 2" xfId="843" xr:uid="{750F3956-2311-4628-867A-1593EBE372CE}"/>
    <cellStyle name="Normal 4 3 3 2 5" xfId="507" xr:uid="{65A7598C-3B5A-42F8-BEDF-E737F9AD5D15}"/>
    <cellStyle name="Normal 4 3 3 2 6" xfId="928" xr:uid="{BA136FC3-4440-4B26-89F7-6CF2EA2DC65C}"/>
    <cellStyle name="Normal 4 3 3 3" xfId="126" xr:uid="{06573006-7634-43AC-A54A-DA4A59ECEE8F}"/>
    <cellStyle name="Normal 4 3 3 3 2" xfId="294" xr:uid="{FCFCCDE1-A42A-4F79-8E9E-E1DCD37E0178}"/>
    <cellStyle name="Normal 4 3 3 3 2 2" xfId="716" xr:uid="{C2C93433-7299-4453-AE65-B7662BB64372}"/>
    <cellStyle name="Normal 4 3 3 3 3" xfId="548" xr:uid="{E7752032-5CA5-460D-8B81-6A3C94DAB1C3}"/>
    <cellStyle name="Normal 4 3 3 4" xfId="211" xr:uid="{F2B247E8-400E-4DD9-97F5-1F1247220EB2}"/>
    <cellStyle name="Normal 4 3 3 4 2" xfId="633" xr:uid="{6DD657FA-4C7F-4E5F-94BE-B7B1FE66D738}"/>
    <cellStyle name="Normal 4 3 3 5" xfId="380" xr:uid="{2359FA50-8025-49FF-A044-58B22D99F548}"/>
    <cellStyle name="Normal 4 3 3 5 2" xfId="801" xr:uid="{F96C8CD0-2589-4FDB-A3CF-48D6D2C18DD8}"/>
    <cellStyle name="Normal 4 3 3 6" xfId="465" xr:uid="{C8C68492-6ECA-4067-B539-A8E3ED2A0606}"/>
    <cellStyle name="Normal 4 3 3 7" xfId="886" xr:uid="{08FFEBCA-4615-4DD9-BF74-5D093AE75462}"/>
    <cellStyle name="Normal 4 3 4" xfId="65" xr:uid="{278624CE-2713-4392-846D-78528C53A08D}"/>
    <cellStyle name="Normal 4 3 4 2" xfId="148" xr:uid="{5D13A901-76B0-4F9E-AEC1-3AF825D3EAB4}"/>
    <cellStyle name="Normal 4 3 4 2 2" xfId="316" xr:uid="{CD46D4CA-B791-408C-A411-54398DA9BBCB}"/>
    <cellStyle name="Normal 4 3 4 2 2 2" xfId="738" xr:uid="{3446F2AC-B387-4FA1-BEF6-D0C3D920BC10}"/>
    <cellStyle name="Normal 4 3 4 2 3" xfId="570" xr:uid="{328CDED0-54D4-4ADB-96BD-F06242DE28D9}"/>
    <cellStyle name="Normal 4 3 4 3" xfId="233" xr:uid="{C04B8A5D-4670-4B2E-9D21-41A4D1DD9E50}"/>
    <cellStyle name="Normal 4 3 4 3 2" xfId="655" xr:uid="{99148FB4-7D44-4FF8-98EF-5348CA2CC4F4}"/>
    <cellStyle name="Normal 4 3 4 4" xfId="402" xr:uid="{BBD7286E-50F9-4C4E-82AF-3DE745A0589F}"/>
    <cellStyle name="Normal 4 3 4 4 2" xfId="823" xr:uid="{54005278-502A-4F2A-B34E-BAD6C5DFF09F}"/>
    <cellStyle name="Normal 4 3 4 5" xfId="487" xr:uid="{8D2B1940-50A9-4C4A-AB9E-0544C9E07019}"/>
    <cellStyle name="Normal 4 3 4 6" xfId="908" xr:uid="{B347B42E-5532-487B-A5D6-9B43BE24462C}"/>
    <cellStyle name="Normal 4 3 5" xfId="106" xr:uid="{FD0EBF50-A0CF-4AFF-8B6E-F5CB336B7555}"/>
    <cellStyle name="Normal 4 3 5 2" xfId="274" xr:uid="{FA399DCF-F769-4DB8-AD2E-03F87B305B96}"/>
    <cellStyle name="Normal 4 3 5 2 2" xfId="696" xr:uid="{366DE364-39A5-4BAC-8B70-6CA6B48B00CB}"/>
    <cellStyle name="Normal 4 3 5 3" xfId="528" xr:uid="{8B1AE269-827C-4AE2-BE00-153DCA50E83B}"/>
    <cellStyle name="Normal 4 3 6" xfId="191" xr:uid="{7D3567D3-15E9-4B4B-A77F-01B17B567B5C}"/>
    <cellStyle name="Normal 4 3 6 2" xfId="613" xr:uid="{07FAE984-7DB7-4593-9D41-40281E6955E6}"/>
    <cellStyle name="Normal 4 3 7" xfId="360" xr:uid="{2E0F37FA-C89D-4FD7-8316-874A0C8B051B}"/>
    <cellStyle name="Normal 4 3 7 2" xfId="781" xr:uid="{8425E473-6DCA-4866-A977-B3F6F39E7D14}"/>
    <cellStyle name="Normal 4 3 8" xfId="445" xr:uid="{FBB27595-0C39-4E2D-8B66-9BD8CB2E2B34}"/>
    <cellStyle name="Normal 4 3 9" xfId="866" xr:uid="{4BA8EA7A-777E-493B-BA89-67377A509F28}"/>
    <cellStyle name="Normal 4 4" xfId="23" xr:uid="{8A3662CB-C4F9-4B47-9B49-EC52499620B4}"/>
    <cellStyle name="Normal 4 4 2" xfId="32" xr:uid="{857AF450-8E11-47B8-9FD1-8BC1E65C2A5F}"/>
    <cellStyle name="Normal 4 4 2 2" xfId="53" xr:uid="{C25EC8F9-FD09-4F30-B331-ADE83CFCD098}"/>
    <cellStyle name="Normal 4 4 2 2 2" xfId="97" xr:uid="{4AADCD71-1213-4FCA-8327-F4A95CDEBFC8}"/>
    <cellStyle name="Normal 4 4 2 2 2 2" xfId="180" xr:uid="{57271E32-5530-4034-B5A2-3FEC287A9D1B}"/>
    <cellStyle name="Normal 4 4 2 2 2 2 2" xfId="348" xr:uid="{55BC26F3-FA8C-4DD9-BBD3-7B6D7F311F66}"/>
    <cellStyle name="Normal 4 4 2 2 2 2 2 2" xfId="770" xr:uid="{46B739A0-5DD9-4908-AF0E-F5195596DBE6}"/>
    <cellStyle name="Normal 4 4 2 2 2 2 3" xfId="602" xr:uid="{CFA4B14F-A746-4AF0-863B-0E56010B9C48}"/>
    <cellStyle name="Normal 4 4 2 2 2 3" xfId="265" xr:uid="{937F988F-A5CB-4104-A4B0-B56D2FB631CC}"/>
    <cellStyle name="Normal 4 4 2 2 2 3 2" xfId="687" xr:uid="{679F8103-4F02-4C76-A4ED-C2DFB7491B97}"/>
    <cellStyle name="Normal 4 4 2 2 2 4" xfId="434" xr:uid="{38D24297-BAB3-47BF-875B-9097558A5FFB}"/>
    <cellStyle name="Normal 4 4 2 2 2 4 2" xfId="855" xr:uid="{55F2212F-BE73-46D0-89BA-89D2E649D758}"/>
    <cellStyle name="Normal 4 4 2 2 2 5" xfId="519" xr:uid="{1D08B837-5532-4532-8658-7D23447278F4}"/>
    <cellStyle name="Normal 4 4 2 2 2 6" xfId="940" xr:uid="{7CBE8566-8CEC-4582-A107-8173F56045DE}"/>
    <cellStyle name="Normal 4 4 2 2 3" xfId="138" xr:uid="{1FA0993D-62B4-4E56-AA7C-67DB206B7CA7}"/>
    <cellStyle name="Normal 4 4 2 2 3 2" xfId="306" xr:uid="{E355F04B-5E71-4D9B-9480-B93E7017D332}"/>
    <cellStyle name="Normal 4 4 2 2 3 2 2" xfId="728" xr:uid="{AE9E0C72-13F2-4370-AC61-D189A1877826}"/>
    <cellStyle name="Normal 4 4 2 2 3 3" xfId="560" xr:uid="{E80E0E49-3EE3-4CFE-A1A7-96C8C3D4820E}"/>
    <cellStyle name="Normal 4 4 2 2 4" xfId="223" xr:uid="{AB350640-F0F1-4FCE-92D4-5E467E9BF6C5}"/>
    <cellStyle name="Normal 4 4 2 2 4 2" xfId="645" xr:uid="{B27FA253-F8A0-47AB-9DF6-6CC2777DF8E4}"/>
    <cellStyle name="Normal 4 4 2 2 5" xfId="392" xr:uid="{B1E9AB79-2FE1-4714-B700-73AD6ED40563}"/>
    <cellStyle name="Normal 4 4 2 2 5 2" xfId="813" xr:uid="{7BE254F4-89F2-4E65-8ED9-989032A63767}"/>
    <cellStyle name="Normal 4 4 2 2 6" xfId="477" xr:uid="{11E7F1F9-AC2B-445D-874F-3CEC785EEA5E}"/>
    <cellStyle name="Normal 4 4 2 2 7" xfId="898" xr:uid="{7EDD9142-BFC3-4E6D-8ED2-C8C179105B79}"/>
    <cellStyle name="Normal 4 4 2 3" xfId="77" xr:uid="{6EB3A440-FDBF-44B9-8C42-1B855979BEE9}"/>
    <cellStyle name="Normal 4 4 2 3 2" xfId="160" xr:uid="{B7369501-0163-48A6-B8F6-835B5776158E}"/>
    <cellStyle name="Normal 4 4 2 3 2 2" xfId="328" xr:uid="{C33EC734-6B00-4D3C-A763-D35C9ECEBF45}"/>
    <cellStyle name="Normal 4 4 2 3 2 2 2" xfId="750" xr:uid="{69C13963-23D5-4865-BA68-D327D4ABBDCB}"/>
    <cellStyle name="Normal 4 4 2 3 2 3" xfId="582" xr:uid="{3262228C-73DB-4ED9-8689-E253DB0768DF}"/>
    <cellStyle name="Normal 4 4 2 3 3" xfId="245" xr:uid="{A51754DD-A928-4FC9-B02F-62AAF25A69A1}"/>
    <cellStyle name="Normal 4 4 2 3 3 2" xfId="667" xr:uid="{6D087FBC-CD0F-4F6F-85E4-8C0EB698616A}"/>
    <cellStyle name="Normal 4 4 2 3 4" xfId="414" xr:uid="{3706AFC9-4EBE-4A9E-BB7B-4FA3507A70AD}"/>
    <cellStyle name="Normal 4 4 2 3 4 2" xfId="835" xr:uid="{0A512DDE-A91D-49AE-8F1B-D778ECC30B9E}"/>
    <cellStyle name="Normal 4 4 2 3 5" xfId="499" xr:uid="{A967E8FB-B954-4D3D-B090-36AB11044054}"/>
    <cellStyle name="Normal 4 4 2 3 6" xfId="920" xr:uid="{E2B1A720-336A-4A4A-8853-1568F593079B}"/>
    <cellStyle name="Normal 4 4 2 4" xfId="118" xr:uid="{3B51261F-9A82-4FE8-895D-623E8BCC62E7}"/>
    <cellStyle name="Normal 4 4 2 4 2" xfId="286" xr:uid="{56024597-8027-44E3-8D87-514129AD06FD}"/>
    <cellStyle name="Normal 4 4 2 4 2 2" xfId="708" xr:uid="{3302CF40-00DD-437B-830C-F9FBB264EDB2}"/>
    <cellStyle name="Normal 4 4 2 4 3" xfId="540" xr:uid="{936A1566-0052-44E0-AA5C-119DD9686399}"/>
    <cellStyle name="Normal 4 4 2 5" xfId="203" xr:uid="{0C391761-BF4E-45C4-8D41-0B6398EE3D3B}"/>
    <cellStyle name="Normal 4 4 2 5 2" xfId="625" xr:uid="{16DCA273-1D25-41DD-A910-06F4A1ED1F94}"/>
    <cellStyle name="Normal 4 4 2 6" xfId="372" xr:uid="{B8723614-FFA9-4BD9-9030-7488BC6F001C}"/>
    <cellStyle name="Normal 4 4 2 6 2" xfId="793" xr:uid="{E26D81AB-9519-48B3-BF23-88C1ED772D86}"/>
    <cellStyle name="Normal 4 4 2 7" xfId="457" xr:uid="{64BB32AF-EEDB-4608-8408-F341AF9467AD}"/>
    <cellStyle name="Normal 4 4 2 8" xfId="878" xr:uid="{9F55EB4E-E4B5-4009-B586-470CE1DF7081}"/>
    <cellStyle name="Normal 4 4 3" xfId="44" xr:uid="{D2E91ACE-6420-4938-AB8C-B61DC2D9EA78}"/>
    <cellStyle name="Normal 4 4 3 2" xfId="88" xr:uid="{1361AD1D-F1A1-4D73-8D6A-D792B0CA73E7}"/>
    <cellStyle name="Normal 4 4 3 2 2" xfId="171" xr:uid="{69EAA5A9-46EA-4529-9D01-9710BAE4BBC2}"/>
    <cellStyle name="Normal 4 4 3 2 2 2" xfId="339" xr:uid="{9D3A269F-ADC8-486E-AC7D-2DA427C125AA}"/>
    <cellStyle name="Normal 4 4 3 2 2 2 2" xfId="761" xr:uid="{E2E52614-9A81-4D93-9E11-1E7C5C2D9DB2}"/>
    <cellStyle name="Normal 4 4 3 2 2 3" xfId="593" xr:uid="{7AF57BC5-A026-46AC-A774-E45ACE752657}"/>
    <cellStyle name="Normal 4 4 3 2 3" xfId="256" xr:uid="{F5DB881F-BCB5-4B56-AE0A-FA8CA805473B}"/>
    <cellStyle name="Normal 4 4 3 2 3 2" xfId="678" xr:uid="{77E15F8C-9EE8-4F9B-AFED-370154868D1E}"/>
    <cellStyle name="Normal 4 4 3 2 4" xfId="425" xr:uid="{6A80EAAE-422B-45B1-A59C-F23082BB135F}"/>
    <cellStyle name="Normal 4 4 3 2 4 2" xfId="846" xr:uid="{0C5F9F20-4FD6-40FE-82B7-9D55CC55C2F6}"/>
    <cellStyle name="Normal 4 4 3 2 5" xfId="510" xr:uid="{ACBD080F-2531-4F20-A48D-49E4E14402DF}"/>
    <cellStyle name="Normal 4 4 3 2 6" xfId="931" xr:uid="{E31E8C90-25B2-4D86-9DC2-4CFE50054143}"/>
    <cellStyle name="Normal 4 4 3 3" xfId="129" xr:uid="{71183B8F-149C-46AD-A525-65FF5CBAEDA7}"/>
    <cellStyle name="Normal 4 4 3 3 2" xfId="297" xr:uid="{249A4345-BA06-453D-A6A6-A128A349D323}"/>
    <cellStyle name="Normal 4 4 3 3 2 2" xfId="719" xr:uid="{E431B14B-0DA6-408D-AC40-B21CBE5319C6}"/>
    <cellStyle name="Normal 4 4 3 3 3" xfId="551" xr:uid="{78C88EF4-B2F4-467B-BF2B-5907CC5DE4F5}"/>
    <cellStyle name="Normal 4 4 3 4" xfId="214" xr:uid="{F32BCC0F-277C-4A20-B41B-0EF3286C6912}"/>
    <cellStyle name="Normal 4 4 3 4 2" xfId="636" xr:uid="{C3B816F7-CCF2-4559-AC47-D86E50C338D6}"/>
    <cellStyle name="Normal 4 4 3 5" xfId="383" xr:uid="{45BB730B-72B8-417E-9A51-AFEEA0177926}"/>
    <cellStyle name="Normal 4 4 3 5 2" xfId="804" xr:uid="{1B23724B-BDB9-4A4C-A2DF-E1C90381EEC9}"/>
    <cellStyle name="Normal 4 4 3 6" xfId="468" xr:uid="{0D2F04BE-1DD1-4DDD-B047-276AA8CD3267}"/>
    <cellStyle name="Normal 4 4 3 7" xfId="889" xr:uid="{3D04FD74-8D09-467D-ACA9-82D426B1C11A}"/>
    <cellStyle name="Normal 4 4 4" xfId="68" xr:uid="{BBDB7181-457C-48AE-BF73-214FAF802F3F}"/>
    <cellStyle name="Normal 4 4 4 2" xfId="151" xr:uid="{C20943B3-04F0-4056-9DA7-1C48B69A07D3}"/>
    <cellStyle name="Normal 4 4 4 2 2" xfId="319" xr:uid="{DB9A2ACD-E66C-4C20-8FB3-EB36E06029E7}"/>
    <cellStyle name="Normal 4 4 4 2 2 2" xfId="741" xr:uid="{7B7BDEC3-2322-4C2E-B908-DBF536B823CC}"/>
    <cellStyle name="Normal 4 4 4 2 3" xfId="573" xr:uid="{4354344A-C0C5-4244-A1BB-EA88DA23D20C}"/>
    <cellStyle name="Normal 4 4 4 3" xfId="236" xr:uid="{60359CF4-A051-4169-AC9D-11B224DD3180}"/>
    <cellStyle name="Normal 4 4 4 3 2" xfId="658" xr:uid="{DBF9152B-EACC-4FC9-B138-205A7B9E9D2C}"/>
    <cellStyle name="Normal 4 4 4 4" xfId="405" xr:uid="{B93A8451-E209-4763-AEFB-FB13DE9AA1FA}"/>
    <cellStyle name="Normal 4 4 4 4 2" xfId="826" xr:uid="{ACC2C7C3-B851-4B8C-899A-C29608638BEA}"/>
    <cellStyle name="Normal 4 4 4 5" xfId="490" xr:uid="{08BD4826-B301-48BA-BF34-0971EE6435A6}"/>
    <cellStyle name="Normal 4 4 4 6" xfId="911" xr:uid="{33ADF110-9EAF-478C-B574-02EE0FF133FD}"/>
    <cellStyle name="Normal 4 4 5" xfId="109" xr:uid="{DD5E171D-DE8E-4053-928D-A4C4E835B9BA}"/>
    <cellStyle name="Normal 4 4 5 2" xfId="277" xr:uid="{FDBBD2D5-22E9-470C-857C-A02C86453942}"/>
    <cellStyle name="Normal 4 4 5 2 2" xfId="699" xr:uid="{65E9ACFA-5634-46FB-AE8A-455A47CD7C19}"/>
    <cellStyle name="Normal 4 4 5 3" xfId="531" xr:uid="{9A32F86B-9E4C-413E-AC6A-FD3B921FCCAA}"/>
    <cellStyle name="Normal 4 4 6" xfId="194" xr:uid="{8099155C-470D-4301-8027-DDDDD03E1821}"/>
    <cellStyle name="Normal 4 4 6 2" xfId="616" xr:uid="{94989270-6F60-4FD5-B2F8-2EFA5A1ADD91}"/>
    <cellStyle name="Normal 4 4 7" xfId="363" xr:uid="{166BA51D-B446-432C-AB97-FFA9F5A50839}"/>
    <cellStyle name="Normal 4 4 7 2" xfId="784" xr:uid="{148401CF-C8A9-4C19-ABB4-27C79108E06A}"/>
    <cellStyle name="Normal 4 4 8" xfId="448" xr:uid="{FAA0E2C5-5449-4ED1-8C86-EC8DC7EF6C34}"/>
    <cellStyle name="Normal 4 4 9" xfId="869" xr:uid="{FC1C14F4-D503-44B1-8FF7-8F59AE7316A0}"/>
    <cellStyle name="Normal 4 5" xfId="26" xr:uid="{89C5C283-5449-4739-9720-AF7404F2F5D5}"/>
    <cellStyle name="Normal 4 5 2" xfId="47" xr:uid="{AD4D38AF-B686-42FD-9DB6-0B25FB76FD25}"/>
    <cellStyle name="Normal 4 5 2 2" xfId="91" xr:uid="{F4A7C39B-A229-4DAC-9F65-1C1C8C0C8111}"/>
    <cellStyle name="Normal 4 5 2 2 2" xfId="174" xr:uid="{F7B127AD-E551-4BF4-90BB-EB211E9BD207}"/>
    <cellStyle name="Normal 4 5 2 2 2 2" xfId="342" xr:uid="{D8B21603-47AA-472A-8966-EC6BB7D77CF3}"/>
    <cellStyle name="Normal 4 5 2 2 2 2 2" xfId="764" xr:uid="{FD3273AD-62A3-4893-A689-B66F5FCA56BB}"/>
    <cellStyle name="Normal 4 5 2 2 2 3" xfId="596" xr:uid="{D5181B77-B992-4768-BF91-BE1571CBF19E}"/>
    <cellStyle name="Normal 4 5 2 2 3" xfId="259" xr:uid="{31724E0D-9281-48E6-B2D2-D2424F61AF43}"/>
    <cellStyle name="Normal 4 5 2 2 3 2" xfId="681" xr:uid="{9BEFE2D9-5E18-495A-A9B9-7AE46AD9E319}"/>
    <cellStyle name="Normal 4 5 2 2 4" xfId="428" xr:uid="{44E295E4-32C3-4AB4-8231-5941D8D1EB4B}"/>
    <cellStyle name="Normal 4 5 2 2 4 2" xfId="849" xr:uid="{069FE437-3D38-4130-A6BE-168BF6B09043}"/>
    <cellStyle name="Normal 4 5 2 2 5" xfId="513" xr:uid="{EBA2A400-D2DE-4E8E-9F7F-4E14B303EC0D}"/>
    <cellStyle name="Normal 4 5 2 2 6" xfId="934" xr:uid="{B53504EC-2F80-4CA0-9F3F-95D6872DC2E4}"/>
    <cellStyle name="Normal 4 5 2 3" xfId="132" xr:uid="{EF6EA3EB-B29C-4FE4-AB29-BD866711D6C2}"/>
    <cellStyle name="Normal 4 5 2 3 2" xfId="300" xr:uid="{0A1FABE6-C0CC-4671-8A55-495E9DDF3D42}"/>
    <cellStyle name="Normal 4 5 2 3 2 2" xfId="722" xr:uid="{355BF80C-8F8A-4558-A5EA-C5F68CE11EA7}"/>
    <cellStyle name="Normal 4 5 2 3 3" xfId="554" xr:uid="{ED57D7ED-D9FC-4CB3-A0C8-E4E746177D16}"/>
    <cellStyle name="Normal 4 5 2 4" xfId="217" xr:uid="{04BA0950-F54F-45A1-87B0-B640E613AC0D}"/>
    <cellStyle name="Normal 4 5 2 4 2" xfId="639" xr:uid="{D0F5236F-386E-47A2-B87C-C610CE30BE85}"/>
    <cellStyle name="Normal 4 5 2 5" xfId="386" xr:uid="{13FE5462-492B-431C-9008-274A9AFA3395}"/>
    <cellStyle name="Normal 4 5 2 5 2" xfId="807" xr:uid="{40F8F710-8E56-4B21-A2D1-60FE84D6E954}"/>
    <cellStyle name="Normal 4 5 2 6" xfId="471" xr:uid="{E762D42A-6C49-429E-8638-F0125262B7EE}"/>
    <cellStyle name="Normal 4 5 2 7" xfId="892" xr:uid="{2AF363EE-5012-4498-940A-E2E8B946F578}"/>
    <cellStyle name="Normal 4 5 3" xfId="71" xr:uid="{2C6A46D2-D77F-46F8-8231-A02D7CA5838C}"/>
    <cellStyle name="Normal 4 5 3 2" xfId="154" xr:uid="{CC1F2208-8BCE-49F5-9FF5-F3E0FBA40FF0}"/>
    <cellStyle name="Normal 4 5 3 2 2" xfId="322" xr:uid="{F7157641-0168-4952-9E0B-267E75CDAD76}"/>
    <cellStyle name="Normal 4 5 3 2 2 2" xfId="744" xr:uid="{DC78B198-F397-4A49-8D45-5284BAE05279}"/>
    <cellStyle name="Normal 4 5 3 2 3" xfId="576" xr:uid="{A5EAEC41-C118-4C2D-95B8-6045A900A9CE}"/>
    <cellStyle name="Normal 4 5 3 3" xfId="239" xr:uid="{042E085E-B95F-48B7-BCEF-AECE5D2FEC76}"/>
    <cellStyle name="Normal 4 5 3 3 2" xfId="661" xr:uid="{D55E1795-B263-4C5F-9385-13156A1FB808}"/>
    <cellStyle name="Normal 4 5 3 4" xfId="408" xr:uid="{B65F4076-4E6E-48BD-B5B0-00B2C51AAE53}"/>
    <cellStyle name="Normal 4 5 3 4 2" xfId="829" xr:uid="{6DF3BD0B-A3D5-4F6C-BC53-FD18DE3C8599}"/>
    <cellStyle name="Normal 4 5 3 5" xfId="493" xr:uid="{2911E8F1-BF53-4136-ADFF-E9ECDEAD1B78}"/>
    <cellStyle name="Normal 4 5 3 6" xfId="914" xr:uid="{72ADB602-3822-4974-983E-07D194E4E265}"/>
    <cellStyle name="Normal 4 5 4" xfId="112" xr:uid="{D651A5F1-D739-4860-A7EA-BAEC8B26ABF8}"/>
    <cellStyle name="Normal 4 5 4 2" xfId="280" xr:uid="{8D7777D6-D30B-41B6-B162-9E20930355EA}"/>
    <cellStyle name="Normal 4 5 4 2 2" xfId="702" xr:uid="{B09BF0C4-D83F-4689-9B97-48664B415A68}"/>
    <cellStyle name="Normal 4 5 4 3" xfId="534" xr:uid="{7AE7AEED-C2E7-45C2-B035-F7F192A240B4}"/>
    <cellStyle name="Normal 4 5 5" xfId="197" xr:uid="{B3C3CA09-58CF-4B3E-BAF4-F515A412BB6C}"/>
    <cellStyle name="Normal 4 5 5 2" xfId="619" xr:uid="{572A4E71-E651-4000-AB39-CAA02CC17645}"/>
    <cellStyle name="Normal 4 5 6" xfId="366" xr:uid="{C01B80DC-AC51-4AD1-AD38-573EE88E6321}"/>
    <cellStyle name="Normal 4 5 6 2" xfId="787" xr:uid="{BE03D260-6AE5-4EFF-81DF-6FBCF7FD77D7}"/>
    <cellStyle name="Normal 4 5 7" xfId="451" xr:uid="{98C2CF4E-5722-49BF-B2E6-D6EAA86A9E07}"/>
    <cellStyle name="Normal 4 5 8" xfId="872" xr:uid="{1A5E75D9-51C0-46DE-8852-D7ADCA36EDB5}"/>
    <cellStyle name="Normal 4 6" xfId="37" xr:uid="{60FD9865-59C0-4217-88E9-E3A257BD5524}"/>
    <cellStyle name="Normal 4 6 2" xfId="82" xr:uid="{D65035D6-BDA8-4E53-958B-0606C3D381D6}"/>
    <cellStyle name="Normal 4 6 2 2" xfId="165" xr:uid="{CE0CD12D-03D6-4547-97FC-B9F3F080B1A9}"/>
    <cellStyle name="Normal 4 6 2 2 2" xfId="333" xr:uid="{7BF519B1-04DB-45BB-8755-DCC402B9A8B1}"/>
    <cellStyle name="Normal 4 6 2 2 2 2" xfId="755" xr:uid="{A848F107-7349-43C0-9427-1EBDAAC1B499}"/>
    <cellStyle name="Normal 4 6 2 2 3" xfId="587" xr:uid="{616261F7-A221-488B-8381-7C3643DFFC13}"/>
    <cellStyle name="Normal 4 6 2 3" xfId="250" xr:uid="{13940281-E8A5-4182-97D1-2B77FAEFF57F}"/>
    <cellStyle name="Normal 4 6 2 3 2" xfId="672" xr:uid="{5F35E941-C0F6-4219-BBCC-E21E7AD17FAB}"/>
    <cellStyle name="Normal 4 6 2 4" xfId="419" xr:uid="{0F57194E-C4BB-4562-AB9A-591CB475238D}"/>
    <cellStyle name="Normal 4 6 2 4 2" xfId="840" xr:uid="{0E46BADF-F46E-4BE5-B946-DAB4B2BB7576}"/>
    <cellStyle name="Normal 4 6 2 5" xfId="504" xr:uid="{F0D8D42A-3E3E-45F8-8B71-C1E23B21047A}"/>
    <cellStyle name="Normal 4 6 2 6" xfId="925" xr:uid="{87B1AC2A-F361-49F5-87A2-0417D4348C7F}"/>
    <cellStyle name="Normal 4 6 3" xfId="123" xr:uid="{B3974AE8-0962-480C-B354-71156C6CB6C0}"/>
    <cellStyle name="Normal 4 6 3 2" xfId="291" xr:uid="{A250E776-A667-4AE0-9194-EF36502D495D}"/>
    <cellStyle name="Normal 4 6 3 2 2" xfId="713" xr:uid="{F9A74BDA-4DC1-475D-85D5-6BEBEE4F7EC7}"/>
    <cellStyle name="Normal 4 6 3 3" xfId="545" xr:uid="{FBB5613F-C862-4605-B82D-6A187EBB81AC}"/>
    <cellStyle name="Normal 4 6 4" xfId="208" xr:uid="{88D8E06B-2765-4FA4-8357-286AA1454527}"/>
    <cellStyle name="Normal 4 6 4 2" xfId="630" xr:uid="{D3DB01FE-BF79-4074-AFE3-C5BD251579B4}"/>
    <cellStyle name="Normal 4 6 5" xfId="377" xr:uid="{B4F4C6D1-4237-4AF2-B8FD-EB060C39DCDB}"/>
    <cellStyle name="Normal 4 6 5 2" xfId="798" xr:uid="{8BAAAE39-1125-4D76-A818-B443505DB1AD}"/>
    <cellStyle name="Normal 4 6 6" xfId="462" xr:uid="{E8644F98-1F26-4E44-98F0-0184147F2448}"/>
    <cellStyle name="Normal 4 6 7" xfId="883" xr:uid="{B3A8C8AB-D89E-4499-A1D5-100E47D50C67}"/>
    <cellStyle name="Normal 4 7" xfId="62" xr:uid="{7CAE90EB-231F-4354-847C-75949E623689}"/>
    <cellStyle name="Normal 4 7 2" xfId="145" xr:uid="{D942ED8F-5528-481E-9C6F-1B6A05EBCC98}"/>
    <cellStyle name="Normal 4 7 2 2" xfId="313" xr:uid="{6E54C82A-E139-44EE-AF83-B179EBABCD62}"/>
    <cellStyle name="Normal 4 7 2 2 2" xfId="735" xr:uid="{00723051-18DC-4C4C-8A74-65DE06F11B85}"/>
    <cellStyle name="Normal 4 7 2 3" xfId="567" xr:uid="{09D715B4-FCCD-471C-9663-F7D61F9F763E}"/>
    <cellStyle name="Normal 4 7 3" xfId="230" xr:uid="{FACD9E41-76CB-4BD6-9A88-3FDFEC139A96}"/>
    <cellStyle name="Normal 4 7 3 2" xfId="652" xr:uid="{A5099D76-3354-47C3-9023-73AD0FAE3472}"/>
    <cellStyle name="Normal 4 7 4" xfId="399" xr:uid="{2C5A9498-C941-4FD2-83A7-97F3AA065264}"/>
    <cellStyle name="Normal 4 7 4 2" xfId="820" xr:uid="{D3C00C95-7D9E-4641-9C19-10208CA423B6}"/>
    <cellStyle name="Normal 4 7 5" xfId="484" xr:uid="{AD536843-2999-4D97-B0F3-33FFB0A517EA}"/>
    <cellStyle name="Normal 4 7 6" xfId="905" xr:uid="{8F2FA5D4-5D70-4B5B-847F-33260FCDEBFB}"/>
    <cellStyle name="Normal 4 8" xfId="103" xr:uid="{03282B8C-4855-4918-A705-EFD70831EDEF}"/>
    <cellStyle name="Normal 4 8 2" xfId="271" xr:uid="{B9F5F1FE-69E7-42E8-98F4-61E9798B3879}"/>
    <cellStyle name="Normal 4 8 2 2" xfId="693" xr:uid="{B5A1E29B-B562-4A99-9D2D-12F23703EAE6}"/>
    <cellStyle name="Normal 4 8 3" xfId="525" xr:uid="{D828BAA2-BBB1-4A0C-98C3-D64F4AF70F28}"/>
    <cellStyle name="Normal 4 9" xfId="188" xr:uid="{62C4DCB5-C516-4C78-899C-64B7E71EFECC}"/>
    <cellStyle name="Normal 4 9 2" xfId="610" xr:uid="{ACD0AB13-1399-41DB-878C-BFBABBA5FB95}"/>
    <cellStyle name="Normal 5" xfId="18" xr:uid="{3AFA3020-350A-4C35-AA0D-1F4D1DCB92E1}"/>
    <cellStyle name="Normal 6" xfId="5" xr:uid="{149E083C-4280-4B6D-BE39-5DE7D5FB161D}"/>
    <cellStyle name="Normal 6 10" xfId="443" xr:uid="{873E558B-611F-4C81-92CD-9BCA081390DD}"/>
    <cellStyle name="Normal 6 11" xfId="864" xr:uid="{527C0E18-9335-4ACD-A18B-5344C0A58B02}"/>
    <cellStyle name="Normal 6 12" xfId="17" xr:uid="{DB1E8F9F-0C66-4F1F-A1AE-B755BE9F2179}"/>
    <cellStyle name="Normal 6 2" xfId="21" xr:uid="{AABD0EE7-8A4A-4109-B815-42F1E36D8B21}"/>
    <cellStyle name="Normal 6 2 2" xfId="30" xr:uid="{F76CD7FC-C9EE-4B3D-B6DA-C6F0BCB16508}"/>
    <cellStyle name="Normal 6 2 2 2" xfId="51" xr:uid="{1E26E78C-5E36-4B96-A65A-53E2D96FEA54}"/>
    <cellStyle name="Normal 6 2 2 2 2" xfId="95" xr:uid="{4E95A8AF-A3A7-4E9A-B9D5-4BFB1F7DDA50}"/>
    <cellStyle name="Normal 6 2 2 2 2 2" xfId="178" xr:uid="{FAB2B182-D4D4-41BD-B64B-075BFA10438E}"/>
    <cellStyle name="Normal 6 2 2 2 2 2 2" xfId="346" xr:uid="{053D4072-56BB-42D0-A18B-B787FDC1BDB6}"/>
    <cellStyle name="Normal 6 2 2 2 2 2 2 2" xfId="768" xr:uid="{9B702B9A-C9AC-40BB-AC45-6DCD84CBE59C}"/>
    <cellStyle name="Normal 6 2 2 2 2 2 3" xfId="600" xr:uid="{A3958C16-B846-4BB7-954C-561CCCCF0514}"/>
    <cellStyle name="Normal 6 2 2 2 2 3" xfId="263" xr:uid="{60B80B7B-E2A0-4BC1-8CCD-B10606804D7B}"/>
    <cellStyle name="Normal 6 2 2 2 2 3 2" xfId="685" xr:uid="{63E8191C-80B0-41E8-A46B-483BB4B58641}"/>
    <cellStyle name="Normal 6 2 2 2 2 4" xfId="432" xr:uid="{3128D9B6-B48B-49A2-ADB6-2258780A0292}"/>
    <cellStyle name="Normal 6 2 2 2 2 4 2" xfId="853" xr:uid="{DE51BD49-21C6-4CEC-89CF-D87DB53BEF46}"/>
    <cellStyle name="Normal 6 2 2 2 2 5" xfId="517" xr:uid="{15D4D5C4-C7B4-489E-9095-43D29402C446}"/>
    <cellStyle name="Normal 6 2 2 2 2 6" xfId="938" xr:uid="{EBD51DDD-1062-4E78-B883-0A92AFF45A5C}"/>
    <cellStyle name="Normal 6 2 2 2 3" xfId="136" xr:uid="{37188CC9-43E9-4BF9-BEA2-B81CFFB3F922}"/>
    <cellStyle name="Normal 6 2 2 2 3 2" xfId="304" xr:uid="{9EA055CD-C60D-4040-A690-8C0F4F69DA91}"/>
    <cellStyle name="Normal 6 2 2 2 3 2 2" xfId="726" xr:uid="{9F81A9CC-D291-42C5-96FA-CDDA7C114069}"/>
    <cellStyle name="Normal 6 2 2 2 3 3" xfId="558" xr:uid="{1688F460-E743-468C-A2DC-F198491ADFFB}"/>
    <cellStyle name="Normal 6 2 2 2 4" xfId="221" xr:uid="{4CC99636-DABD-468E-A3AE-15967B70F5E2}"/>
    <cellStyle name="Normal 6 2 2 2 4 2" xfId="643" xr:uid="{B657F6DA-2BC8-4923-AAA4-C665046446CE}"/>
    <cellStyle name="Normal 6 2 2 2 5" xfId="390" xr:uid="{96B61DD1-5265-4CF7-AF3E-BA7A9781ED72}"/>
    <cellStyle name="Normal 6 2 2 2 5 2" xfId="811" xr:uid="{138E1C48-3B58-4229-9222-4BEC7226185C}"/>
    <cellStyle name="Normal 6 2 2 2 6" xfId="475" xr:uid="{8BD15E90-3A99-403A-8148-60D37428B024}"/>
    <cellStyle name="Normal 6 2 2 2 7" xfId="896" xr:uid="{E414BD50-E2F6-4215-BE66-2B7E5C76106F}"/>
    <cellStyle name="Normal 6 2 2 3" xfId="75" xr:uid="{84A7ECA3-9D6D-4638-AE4C-AFA129ED88A5}"/>
    <cellStyle name="Normal 6 2 2 3 2" xfId="158" xr:uid="{6E5D2808-030F-4C7F-88DC-0D74A0B58390}"/>
    <cellStyle name="Normal 6 2 2 3 2 2" xfId="326" xr:uid="{00A83BA6-A266-40FF-A678-00CB2ED12E8E}"/>
    <cellStyle name="Normal 6 2 2 3 2 2 2" xfId="748" xr:uid="{C0A04DA8-67CF-4352-902B-2C3991F2893B}"/>
    <cellStyle name="Normal 6 2 2 3 2 3" xfId="580" xr:uid="{066CDB9C-589E-4459-B224-B97C62CFCDE8}"/>
    <cellStyle name="Normal 6 2 2 3 3" xfId="243" xr:uid="{4F2B19D2-4BCB-497F-9729-7FD2AA6DBD5A}"/>
    <cellStyle name="Normal 6 2 2 3 3 2" xfId="665" xr:uid="{23914D4B-5EBC-4432-AEBC-95B14333AB5F}"/>
    <cellStyle name="Normal 6 2 2 3 4" xfId="412" xr:uid="{86DCE82E-1346-4351-9200-94F1D711D4D8}"/>
    <cellStyle name="Normal 6 2 2 3 4 2" xfId="833" xr:uid="{9D4B34FC-8A50-4840-8DC2-229A6EF765DA}"/>
    <cellStyle name="Normal 6 2 2 3 5" xfId="497" xr:uid="{AB517D17-64E2-49F5-BB30-82B65356F78F}"/>
    <cellStyle name="Normal 6 2 2 3 6" xfId="918" xr:uid="{22344542-BA51-4FEC-87A2-B1216096968E}"/>
    <cellStyle name="Normal 6 2 2 4" xfId="116" xr:uid="{7FB5105B-9A79-46EB-8840-1A2E6F47D791}"/>
    <cellStyle name="Normal 6 2 2 4 2" xfId="284" xr:uid="{426C7047-CB85-4D33-AE1D-99B5F0A49504}"/>
    <cellStyle name="Normal 6 2 2 4 2 2" xfId="706" xr:uid="{D2D2FE14-7D23-4F04-A088-0D35E826AD03}"/>
    <cellStyle name="Normal 6 2 2 4 3" xfId="538" xr:uid="{788DD4F1-B51E-475F-91E1-9DED452AFFBA}"/>
    <cellStyle name="Normal 6 2 2 5" xfId="201" xr:uid="{20C13587-7790-43DD-B682-212BFEA4EE8B}"/>
    <cellStyle name="Normal 6 2 2 5 2" xfId="623" xr:uid="{AFAA7293-F47C-4D18-A227-D8E8D651A995}"/>
    <cellStyle name="Normal 6 2 2 6" xfId="370" xr:uid="{8C02DA0E-B22C-4A07-950B-03713F46B02B}"/>
    <cellStyle name="Normal 6 2 2 6 2" xfId="791" xr:uid="{6139104E-5EFB-4866-BEFD-E98EC4B9CA4C}"/>
    <cellStyle name="Normal 6 2 2 7" xfId="455" xr:uid="{183AAB4D-B431-40DE-95EA-3E8F5BFF4BF0}"/>
    <cellStyle name="Normal 6 2 2 8" xfId="876" xr:uid="{25086A0C-D162-458C-BE87-1A6BFAD8FEED}"/>
    <cellStyle name="Normal 6 2 3" xfId="42" xr:uid="{B50A15F0-767D-4687-AE2F-BAF883E4A71C}"/>
    <cellStyle name="Normal 6 2 3 2" xfId="86" xr:uid="{3AA2FB0C-40B3-4B5D-A750-9E9D68117A7E}"/>
    <cellStyle name="Normal 6 2 3 2 2" xfId="169" xr:uid="{7B5B8937-CC6E-4691-BA50-1ADC210A0558}"/>
    <cellStyle name="Normal 6 2 3 2 2 2" xfId="337" xr:uid="{B2C77B06-439B-40E7-9775-0C6DD542080B}"/>
    <cellStyle name="Normal 6 2 3 2 2 2 2" xfId="759" xr:uid="{84ADD58E-C90B-4022-88B4-7C1C002DE99F}"/>
    <cellStyle name="Normal 6 2 3 2 2 3" xfId="591" xr:uid="{11F7993A-3804-48B0-AD30-09C4FF9E00CB}"/>
    <cellStyle name="Normal 6 2 3 2 3" xfId="254" xr:uid="{4D312D4D-4D69-4AF1-89AA-371955460170}"/>
    <cellStyle name="Normal 6 2 3 2 3 2" xfId="676" xr:uid="{32BCE9C0-EC44-495D-8576-3DFA161680B9}"/>
    <cellStyle name="Normal 6 2 3 2 4" xfId="423" xr:uid="{D9858F8E-2850-4C91-84BD-DF62588E7DDF}"/>
    <cellStyle name="Normal 6 2 3 2 4 2" xfId="844" xr:uid="{C94659C2-BFC7-4C2E-94F5-4C3D08AF89E5}"/>
    <cellStyle name="Normal 6 2 3 2 5" xfId="508" xr:uid="{15A8C13D-97C9-481E-89B9-64C270DB726A}"/>
    <cellStyle name="Normal 6 2 3 2 6" xfId="929" xr:uid="{80A1E58A-EBA4-4D06-AD87-E0C123CECA43}"/>
    <cellStyle name="Normal 6 2 3 3" xfId="127" xr:uid="{B614088A-089F-4A02-8F40-EA64C3F49B8A}"/>
    <cellStyle name="Normal 6 2 3 3 2" xfId="295" xr:uid="{35D71C84-B3F1-4633-8FA5-D6E3D989FB0D}"/>
    <cellStyle name="Normal 6 2 3 3 2 2" xfId="717" xr:uid="{220A4F3C-0A86-40D7-8ED1-E2AFEEC6B356}"/>
    <cellStyle name="Normal 6 2 3 3 3" xfId="549" xr:uid="{F5261F02-A8D6-41A5-98D2-C8DDFF56BED0}"/>
    <cellStyle name="Normal 6 2 3 4" xfId="212" xr:uid="{AC8BCD53-1589-4304-B207-378552200C27}"/>
    <cellStyle name="Normal 6 2 3 4 2" xfId="634" xr:uid="{BBABB626-6AA6-41CB-BCE0-71F4059F9BD1}"/>
    <cellStyle name="Normal 6 2 3 5" xfId="381" xr:uid="{E9AE6263-F586-4632-A0C5-833F108C640E}"/>
    <cellStyle name="Normal 6 2 3 5 2" xfId="802" xr:uid="{3451EBF9-64EB-4F56-A8FE-AD2EC2BB3D4E}"/>
    <cellStyle name="Normal 6 2 3 6" xfId="466" xr:uid="{516A3141-D8E3-4C30-A258-90AA3E74D538}"/>
    <cellStyle name="Normal 6 2 3 7" xfId="887" xr:uid="{51287117-68F0-4258-BF32-4508DA4AC9EE}"/>
    <cellStyle name="Normal 6 2 4" xfId="66" xr:uid="{847C835F-4EE7-4D86-B2A6-CC3E661AE001}"/>
    <cellStyle name="Normal 6 2 4 2" xfId="149" xr:uid="{3E4DC0D2-BC53-45B1-94B2-EAE2A1147E9B}"/>
    <cellStyle name="Normal 6 2 4 2 2" xfId="317" xr:uid="{2A57115D-FAE3-4C96-AFB7-7A30A6A1667E}"/>
    <cellStyle name="Normal 6 2 4 2 2 2" xfId="739" xr:uid="{B43DDD0E-8E00-472D-8760-18D88A692667}"/>
    <cellStyle name="Normal 6 2 4 2 3" xfId="571" xr:uid="{F26DD4F5-4856-4DDC-A743-BD3A997E0A92}"/>
    <cellStyle name="Normal 6 2 4 3" xfId="234" xr:uid="{B5475B9E-4C6E-4F5E-AC37-171E23E2861D}"/>
    <cellStyle name="Normal 6 2 4 3 2" xfId="656" xr:uid="{CB8BAB7C-3A22-446C-8C2C-7D69B208BCCF}"/>
    <cellStyle name="Normal 6 2 4 4" xfId="403" xr:uid="{5831D44A-AD65-4F02-8EF6-CACB172C65EF}"/>
    <cellStyle name="Normal 6 2 4 4 2" xfId="824" xr:uid="{FC7C55F8-8A45-481D-844C-25E3AD74ABC9}"/>
    <cellStyle name="Normal 6 2 4 5" xfId="488" xr:uid="{4C4C46B2-06E4-4D59-8D3A-A3A9F72E7EF4}"/>
    <cellStyle name="Normal 6 2 4 6" xfId="909" xr:uid="{9E973B8B-477D-4C78-B186-52E130F112EE}"/>
    <cellStyle name="Normal 6 2 5" xfId="107" xr:uid="{9BD7A0C3-750C-4E1E-A51F-19212EB78A20}"/>
    <cellStyle name="Normal 6 2 5 2" xfId="275" xr:uid="{0B1BD783-015D-468D-8095-8EE2B0A705FF}"/>
    <cellStyle name="Normal 6 2 5 2 2" xfId="697" xr:uid="{23629098-842C-4DA5-9345-1B95FA9345E6}"/>
    <cellStyle name="Normal 6 2 5 3" xfId="529" xr:uid="{95C21ACE-4014-4349-AE37-A4D490AA7BC4}"/>
    <cellStyle name="Normal 6 2 6" xfId="192" xr:uid="{5388BA6C-0636-45DC-9AC9-E5140C6FF9D8}"/>
    <cellStyle name="Normal 6 2 6 2" xfId="614" xr:uid="{FF27BEF4-63D7-49F3-85B0-D6AD18181A7C}"/>
    <cellStyle name="Normal 6 2 7" xfId="361" xr:uid="{83D44D2C-BCAE-40F7-9302-371016446E45}"/>
    <cellStyle name="Normal 6 2 7 2" xfId="782" xr:uid="{83172AF6-EACD-43B7-ADC3-4FAFD2024983}"/>
    <cellStyle name="Normal 6 2 8" xfId="446" xr:uid="{F31A2A5A-4744-4135-B0C3-3225D2931F0B}"/>
    <cellStyle name="Normal 6 2 9" xfId="867" xr:uid="{80AB47D9-3B9E-4757-93BD-5FC89BAF6012}"/>
    <cellStyle name="Normal 6 3" xfId="24" xr:uid="{D0660329-C9E3-4190-A5A0-621F23313F70}"/>
    <cellStyle name="Normal 6 3 2" xfId="33" xr:uid="{0F666C7A-F7EA-4E72-94CF-EED2EE1107B4}"/>
    <cellStyle name="Normal 6 3 2 2" xfId="54" xr:uid="{D7DF3CE9-61E1-4C4C-851E-A53DF54AD681}"/>
    <cellStyle name="Normal 6 3 2 2 2" xfId="98" xr:uid="{669F8072-3354-4AD4-9747-178015961494}"/>
    <cellStyle name="Normal 6 3 2 2 2 2" xfId="181" xr:uid="{AF44C0CF-D914-46B4-9E34-45F299F0F79E}"/>
    <cellStyle name="Normal 6 3 2 2 2 2 2" xfId="349" xr:uid="{D8804A4E-5567-4DC1-BC03-AAFE30B023D4}"/>
    <cellStyle name="Normal 6 3 2 2 2 2 2 2" xfId="771" xr:uid="{52E0BE10-43B7-464D-949B-695508FF5FE0}"/>
    <cellStyle name="Normal 6 3 2 2 2 2 3" xfId="603" xr:uid="{3AFA1F21-A6E4-478D-936B-1868F876F1B2}"/>
    <cellStyle name="Normal 6 3 2 2 2 3" xfId="266" xr:uid="{BFB4A167-9A28-44F5-AC6D-F6FE1594288A}"/>
    <cellStyle name="Normal 6 3 2 2 2 3 2" xfId="688" xr:uid="{341306DA-85C4-4ACE-A42B-2E2B602F21BD}"/>
    <cellStyle name="Normal 6 3 2 2 2 4" xfId="435" xr:uid="{A729DBBA-0C3C-4CF0-B98A-CBB71CCF83CF}"/>
    <cellStyle name="Normal 6 3 2 2 2 4 2" xfId="856" xr:uid="{C3BAE076-2DAE-4B2E-A120-047283812271}"/>
    <cellStyle name="Normal 6 3 2 2 2 5" xfId="520" xr:uid="{B690CBBB-D305-41AF-897D-1DEA417ADD1D}"/>
    <cellStyle name="Normal 6 3 2 2 2 6" xfId="941" xr:uid="{885EC8EC-42B2-4038-BD95-5183DBA15DFD}"/>
    <cellStyle name="Normal 6 3 2 2 3" xfId="139" xr:uid="{CECA1A0F-6665-4AB4-81B4-9229302F3A56}"/>
    <cellStyle name="Normal 6 3 2 2 3 2" xfId="307" xr:uid="{3DEB1DD4-89B6-4642-8DBD-E36740C09630}"/>
    <cellStyle name="Normal 6 3 2 2 3 2 2" xfId="729" xr:uid="{A57F01A1-3F0E-4A67-9C12-C42D1ABED242}"/>
    <cellStyle name="Normal 6 3 2 2 3 3" xfId="561" xr:uid="{088A4E4C-73FF-45FA-AF8B-C6DAC959D0F7}"/>
    <cellStyle name="Normal 6 3 2 2 4" xfId="224" xr:uid="{536BC4C6-4762-4F6F-97A2-AAFCDE43D511}"/>
    <cellStyle name="Normal 6 3 2 2 4 2" xfId="646" xr:uid="{91E50F12-507D-41B9-BEC4-1BE8463317EC}"/>
    <cellStyle name="Normal 6 3 2 2 5" xfId="393" xr:uid="{EBFD82F1-83A7-4733-8E98-50C8F07C38DB}"/>
    <cellStyle name="Normal 6 3 2 2 5 2" xfId="814" xr:uid="{84F906CB-F85D-4C19-A183-21ADB813C884}"/>
    <cellStyle name="Normal 6 3 2 2 6" xfId="478" xr:uid="{B5062BA9-1AB2-4312-B355-2F663BA5AF25}"/>
    <cellStyle name="Normal 6 3 2 2 7" xfId="899" xr:uid="{D71E110F-45CB-4B16-94E6-9367B375D371}"/>
    <cellStyle name="Normal 6 3 2 3" xfId="78" xr:uid="{B36B3577-FFED-4269-A139-07EF74664E43}"/>
    <cellStyle name="Normal 6 3 2 3 2" xfId="161" xr:uid="{3E55209E-0A82-4E78-ACE9-31CC787C9EA1}"/>
    <cellStyle name="Normal 6 3 2 3 2 2" xfId="329" xr:uid="{5C358939-4FF5-4F98-A4BA-9E1B3F1B2222}"/>
    <cellStyle name="Normal 6 3 2 3 2 2 2" xfId="751" xr:uid="{1B4FA05F-605D-4094-BA01-6BA4273E2A00}"/>
    <cellStyle name="Normal 6 3 2 3 2 3" xfId="583" xr:uid="{148D89D5-1A35-44BF-9D3B-D82BA71CAF03}"/>
    <cellStyle name="Normal 6 3 2 3 3" xfId="246" xr:uid="{FF5CD153-E82E-4C02-883A-F4D51CE0BF47}"/>
    <cellStyle name="Normal 6 3 2 3 3 2" xfId="668" xr:uid="{5DE7DDDA-F68E-4324-9181-49ACC836550B}"/>
    <cellStyle name="Normal 6 3 2 3 4" xfId="415" xr:uid="{7EDAE19C-59F8-4562-9EC9-4EC30C47C6A3}"/>
    <cellStyle name="Normal 6 3 2 3 4 2" xfId="836" xr:uid="{CAFE2AB5-1606-4CCD-8A36-09F478E2D5BD}"/>
    <cellStyle name="Normal 6 3 2 3 5" xfId="500" xr:uid="{C58F8879-079F-4529-BE6D-0D487C73318A}"/>
    <cellStyle name="Normal 6 3 2 3 6" xfId="921" xr:uid="{81B7E4DB-5692-44DA-8959-C836C7B7D5E0}"/>
    <cellStyle name="Normal 6 3 2 4" xfId="119" xr:uid="{E117CE43-D93D-4CB0-A5E5-D4C0EC41A46F}"/>
    <cellStyle name="Normal 6 3 2 4 2" xfId="287" xr:uid="{C99B2B91-A0CF-4082-8931-D83824882CEC}"/>
    <cellStyle name="Normal 6 3 2 4 2 2" xfId="709" xr:uid="{E86CBB13-0502-48CC-9FC2-0126659A3478}"/>
    <cellStyle name="Normal 6 3 2 4 3" xfId="541" xr:uid="{3BA0F30C-C9A8-4E49-B4A5-364FDCF02612}"/>
    <cellStyle name="Normal 6 3 2 5" xfId="204" xr:uid="{DEAB0172-9304-4193-8526-9718E5CBC35C}"/>
    <cellStyle name="Normal 6 3 2 5 2" xfId="626" xr:uid="{4C735F9E-8A55-490F-A3A3-7E6C2B23BFF9}"/>
    <cellStyle name="Normal 6 3 2 6" xfId="373" xr:uid="{316D37BF-4FB0-4E62-88F1-0ED596656E1D}"/>
    <cellStyle name="Normal 6 3 2 6 2" xfId="794" xr:uid="{66C52D12-FD95-432C-9694-17641825C9D1}"/>
    <cellStyle name="Normal 6 3 2 7" xfId="458" xr:uid="{F8D57B47-2809-4376-B58F-B6194C92515F}"/>
    <cellStyle name="Normal 6 3 2 8" xfId="879" xr:uid="{79B928FF-5472-4694-990B-FD3E311B9DAF}"/>
    <cellStyle name="Normal 6 3 3" xfId="45" xr:uid="{19D91260-9160-4AA8-8722-17EF82BA9A68}"/>
    <cellStyle name="Normal 6 3 3 2" xfId="89" xr:uid="{50640E93-CDDB-44DA-B0BE-2CDC9A28ED49}"/>
    <cellStyle name="Normal 6 3 3 2 2" xfId="172" xr:uid="{FFB698BB-5EA5-4493-9732-0C49B984BC56}"/>
    <cellStyle name="Normal 6 3 3 2 2 2" xfId="340" xr:uid="{B669DA0A-79F7-450C-A646-50100FD0E07C}"/>
    <cellStyle name="Normal 6 3 3 2 2 2 2" xfId="762" xr:uid="{3A1D595C-B470-45FB-A743-2B71709A36FE}"/>
    <cellStyle name="Normal 6 3 3 2 2 3" xfId="594" xr:uid="{2C3CB128-1C73-461E-ADBF-97C11E923DD7}"/>
    <cellStyle name="Normal 6 3 3 2 3" xfId="257" xr:uid="{71ED40B3-8EE1-4BB2-894A-9604F9B34F5A}"/>
    <cellStyle name="Normal 6 3 3 2 3 2" xfId="679" xr:uid="{6DB8A56B-BA55-4735-BAA9-B48320E173C6}"/>
    <cellStyle name="Normal 6 3 3 2 4" xfId="426" xr:uid="{FF2D1769-C587-4F97-A061-51D8AF7A18BC}"/>
    <cellStyle name="Normal 6 3 3 2 4 2" xfId="847" xr:uid="{F4BD06F6-9845-4CC9-8B78-2F41975874BF}"/>
    <cellStyle name="Normal 6 3 3 2 5" xfId="511" xr:uid="{9EFF45E4-A467-43AE-A351-2B0B2DED3AEC}"/>
    <cellStyle name="Normal 6 3 3 2 6" xfId="932" xr:uid="{6ED2D48A-FF3B-4413-B536-37740DD421AC}"/>
    <cellStyle name="Normal 6 3 3 3" xfId="130" xr:uid="{AAD03F1A-548E-47A2-855D-E83D662E82B9}"/>
    <cellStyle name="Normal 6 3 3 3 2" xfId="298" xr:uid="{F99A6ECA-2792-4E2D-B5C2-167FF9363120}"/>
    <cellStyle name="Normal 6 3 3 3 2 2" xfId="720" xr:uid="{91520D9A-DAF0-44CE-908C-9F6000477659}"/>
    <cellStyle name="Normal 6 3 3 3 3" xfId="552" xr:uid="{3909498D-D426-4413-BB72-80E6CD3528CF}"/>
    <cellStyle name="Normal 6 3 3 4" xfId="215" xr:uid="{413C217D-E4AA-49FF-98FC-CF1A28FEE207}"/>
    <cellStyle name="Normal 6 3 3 4 2" xfId="637" xr:uid="{59B86AAD-7460-4F38-8DBD-0C40A2CD1605}"/>
    <cellStyle name="Normal 6 3 3 5" xfId="384" xr:uid="{F2640743-5EAA-48D3-89D3-AE3A30FB5970}"/>
    <cellStyle name="Normal 6 3 3 5 2" xfId="805" xr:uid="{53A97197-4FA6-4B8E-A895-9402490979A7}"/>
    <cellStyle name="Normal 6 3 3 6" xfId="469" xr:uid="{1D839238-E72E-4F26-A20D-A5842B5F4126}"/>
    <cellStyle name="Normal 6 3 3 7" xfId="890" xr:uid="{DFA7BC66-5245-4CCE-A41D-8F671E74765A}"/>
    <cellStyle name="Normal 6 3 4" xfId="69" xr:uid="{9C92251C-A4F4-47F2-BF1C-170921BBB7EA}"/>
    <cellStyle name="Normal 6 3 4 2" xfId="152" xr:uid="{2A410F53-A8B6-4D28-96A6-69A415B35F5E}"/>
    <cellStyle name="Normal 6 3 4 2 2" xfId="320" xr:uid="{E0458177-86AA-407D-8D39-BE5530581C30}"/>
    <cellStyle name="Normal 6 3 4 2 2 2" xfId="742" xr:uid="{BBE5F3BD-3CDD-4140-A46D-A3345755986C}"/>
    <cellStyle name="Normal 6 3 4 2 3" xfId="574" xr:uid="{3F740A6B-99F6-4109-AD1C-0FBDAC45C6CE}"/>
    <cellStyle name="Normal 6 3 4 3" xfId="237" xr:uid="{36F90246-472B-4635-8267-97F187DCE25F}"/>
    <cellStyle name="Normal 6 3 4 3 2" xfId="659" xr:uid="{3A4BCACF-A405-4F5E-91C2-748242C07F3B}"/>
    <cellStyle name="Normal 6 3 4 4" xfId="406" xr:uid="{A023818F-0D5C-4C7D-9C6D-0E8BDF87740F}"/>
    <cellStyle name="Normal 6 3 4 4 2" xfId="827" xr:uid="{3E354E92-8C8E-4CF1-AC1D-495FB81ACE55}"/>
    <cellStyle name="Normal 6 3 4 5" xfId="491" xr:uid="{9AEE0C77-3040-4DE9-9B74-D3669822CB6E}"/>
    <cellStyle name="Normal 6 3 4 6" xfId="912" xr:uid="{412682C4-AA43-4B50-BA60-D4FAB8BD6307}"/>
    <cellStyle name="Normal 6 3 5" xfId="110" xr:uid="{3DA31227-7CB7-4A66-8008-E8EBC0FAD91F}"/>
    <cellStyle name="Normal 6 3 5 2" xfId="278" xr:uid="{99E246F1-54FC-4547-BD86-4AD55E3530E7}"/>
    <cellStyle name="Normal 6 3 5 2 2" xfId="700" xr:uid="{71AF65C6-6F34-426D-BAF4-8D5AF8C00C39}"/>
    <cellStyle name="Normal 6 3 5 3" xfId="532" xr:uid="{48D029BE-44B0-4B23-B112-ADB29FFF4EEF}"/>
    <cellStyle name="Normal 6 3 6" xfId="195" xr:uid="{D69C0647-83FF-4B50-8721-99DF85BF8BA7}"/>
    <cellStyle name="Normal 6 3 6 2" xfId="617" xr:uid="{4E5E33AB-3DF4-4058-9E8F-69B991FC03CE}"/>
    <cellStyle name="Normal 6 3 7" xfId="364" xr:uid="{EB9F3941-EF1D-468A-B994-A40407ADE1EA}"/>
    <cellStyle name="Normal 6 3 7 2" xfId="785" xr:uid="{0DBA474A-67DC-41AC-B389-415082159EFC}"/>
    <cellStyle name="Normal 6 3 8" xfId="449" xr:uid="{40C57DBE-95D3-4C9B-9446-45782E0E7EB0}"/>
    <cellStyle name="Normal 6 3 9" xfId="870" xr:uid="{DE4A8927-0F19-4DEB-9287-139F78553EE4}"/>
    <cellStyle name="Normal 6 4" xfId="27" xr:uid="{051742AC-96DE-4FC7-8319-2823333B1714}"/>
    <cellStyle name="Normal 6 4 2" xfId="48" xr:uid="{C9DF71F5-DA8B-432D-A417-C8A2B70F68E3}"/>
    <cellStyle name="Normal 6 4 2 2" xfId="92" xr:uid="{8AF41AC8-F7CC-4DAB-9EF5-F12BF32915D3}"/>
    <cellStyle name="Normal 6 4 2 2 2" xfId="175" xr:uid="{15DFA82C-7D1E-484A-AE6F-0D874ED28915}"/>
    <cellStyle name="Normal 6 4 2 2 2 2" xfId="343" xr:uid="{46E31732-B701-4A6F-B4BD-EBFFCBEDB8C5}"/>
    <cellStyle name="Normal 6 4 2 2 2 2 2" xfId="765" xr:uid="{96198765-1A95-41CB-AE3A-0089550903E6}"/>
    <cellStyle name="Normal 6 4 2 2 2 3" xfId="597" xr:uid="{DED5E372-6166-42C8-99EC-D1CC63FA1E1A}"/>
    <cellStyle name="Normal 6 4 2 2 3" xfId="260" xr:uid="{56BFD6AC-CC1E-482D-A9DE-B7CBD558334C}"/>
    <cellStyle name="Normal 6 4 2 2 3 2" xfId="682" xr:uid="{AF188180-D8C5-48F3-A0B6-FFF4B1C4FB40}"/>
    <cellStyle name="Normal 6 4 2 2 4" xfId="429" xr:uid="{D73EC116-34B7-425A-8FCD-3FA15BEF5461}"/>
    <cellStyle name="Normal 6 4 2 2 4 2" xfId="850" xr:uid="{63A2403B-78E8-4555-9D33-E20BB94D8975}"/>
    <cellStyle name="Normal 6 4 2 2 5" xfId="514" xr:uid="{63F66FBC-CB3B-4454-B717-6104E9C4BAAA}"/>
    <cellStyle name="Normal 6 4 2 2 6" xfId="935" xr:uid="{8797CD22-CCB7-4CBA-BD72-52F4F0A00E7D}"/>
    <cellStyle name="Normal 6 4 2 3" xfId="133" xr:uid="{3D87E305-F6BC-4E0A-88F1-C896F962FBA8}"/>
    <cellStyle name="Normal 6 4 2 3 2" xfId="301" xr:uid="{7A019874-D0C8-45C9-8804-EA8B5AD2EF2C}"/>
    <cellStyle name="Normal 6 4 2 3 2 2" xfId="723" xr:uid="{307AB97E-5029-4874-A5E7-43FD152C99C1}"/>
    <cellStyle name="Normal 6 4 2 3 3" xfId="555" xr:uid="{DA9C3A67-7563-40D7-A142-E6D785BB8BBD}"/>
    <cellStyle name="Normal 6 4 2 4" xfId="218" xr:uid="{C6A8C38C-4834-43DF-BD2C-0F1D147936A7}"/>
    <cellStyle name="Normal 6 4 2 4 2" xfId="640" xr:uid="{E1DA8E71-A2D0-4584-91CE-BB78625AB636}"/>
    <cellStyle name="Normal 6 4 2 5" xfId="387" xr:uid="{8597FD72-AC60-4BEB-89EC-466BCEA591A7}"/>
    <cellStyle name="Normal 6 4 2 5 2" xfId="808" xr:uid="{C90C8513-2F78-492E-B049-888E7B10FD7F}"/>
    <cellStyle name="Normal 6 4 2 6" xfId="472" xr:uid="{A7BA3DC6-C5EB-43BE-A684-72059DC626C8}"/>
    <cellStyle name="Normal 6 4 2 7" xfId="893" xr:uid="{4BDD88F2-4823-41E2-BBDA-BB9339D9072B}"/>
    <cellStyle name="Normal 6 4 3" xfId="72" xr:uid="{868185FA-2ABF-48DA-A86D-335BC78F6C06}"/>
    <cellStyle name="Normal 6 4 3 2" xfId="155" xr:uid="{A0D3CB8D-A33D-473E-8D65-871FADCF2DEA}"/>
    <cellStyle name="Normal 6 4 3 2 2" xfId="323" xr:uid="{D8AADC45-4311-41C7-B74C-205066B3EE56}"/>
    <cellStyle name="Normal 6 4 3 2 2 2" xfId="745" xr:uid="{F6AAFBBF-5705-416F-8D65-741DF7E97681}"/>
    <cellStyle name="Normal 6 4 3 2 3" xfId="577" xr:uid="{A7C97B73-77F1-4746-A8B2-9226FFCCD424}"/>
    <cellStyle name="Normal 6 4 3 3" xfId="240" xr:uid="{C14C4971-2894-4F25-95AE-2E7D6A17B86E}"/>
    <cellStyle name="Normal 6 4 3 3 2" xfId="662" xr:uid="{4247263C-F598-427C-94C0-16C087B605B6}"/>
    <cellStyle name="Normal 6 4 3 4" xfId="409" xr:uid="{73B82510-AC25-432B-BA07-0D46CF47BBFD}"/>
    <cellStyle name="Normal 6 4 3 4 2" xfId="830" xr:uid="{CDA1AAF2-811D-43C7-A595-0B8FFB144192}"/>
    <cellStyle name="Normal 6 4 3 5" xfId="494" xr:uid="{1B05A88C-A1C9-48FF-8516-1E10F9B85743}"/>
    <cellStyle name="Normal 6 4 3 6" xfId="915" xr:uid="{D0D04001-A4B9-4BB6-A696-0C67D3735204}"/>
    <cellStyle name="Normal 6 4 4" xfId="113" xr:uid="{AB877830-E72C-4A2C-AA49-B4A49DAF202B}"/>
    <cellStyle name="Normal 6 4 4 2" xfId="281" xr:uid="{43FD8406-4632-4A83-B129-AC266B8FF49B}"/>
    <cellStyle name="Normal 6 4 4 2 2" xfId="703" xr:uid="{5D2BAAE3-E9AB-4623-B4DC-4C0F00C52DF7}"/>
    <cellStyle name="Normal 6 4 4 3" xfId="535" xr:uid="{8CB75EAB-4B8D-482B-9786-A1AADA0D5CED}"/>
    <cellStyle name="Normal 6 4 5" xfId="198" xr:uid="{5EA2ABE2-8483-41C2-93BB-26E89154F5A3}"/>
    <cellStyle name="Normal 6 4 5 2" xfId="620" xr:uid="{3B97BC72-EA4B-4C40-A3C1-9654C9F35885}"/>
    <cellStyle name="Normal 6 4 6" xfId="367" xr:uid="{00133561-2930-4C69-9C1C-F0CBAF7436B7}"/>
    <cellStyle name="Normal 6 4 6 2" xfId="788" xr:uid="{B62E8151-BE84-4D59-99A4-E2690F460383}"/>
    <cellStyle name="Normal 6 4 7" xfId="452" xr:uid="{9D343472-7AB5-4E24-9F8B-9190F40324B4}"/>
    <cellStyle name="Normal 6 4 8" xfId="873" xr:uid="{CAB28D32-8B06-4F54-9B27-ACA2A7E97530}"/>
    <cellStyle name="Normal 6 5" xfId="38" xr:uid="{5C4BD906-E61C-45C1-9035-0F69A2A92C0F}"/>
    <cellStyle name="Normal 6 5 2" xfId="83" xr:uid="{EDC032E5-3518-4F4C-8423-68C882A2A556}"/>
    <cellStyle name="Normal 6 5 2 2" xfId="166" xr:uid="{4F9E749F-2607-4AE9-B5CA-4B0A8E108853}"/>
    <cellStyle name="Normal 6 5 2 2 2" xfId="334" xr:uid="{B9473D2F-E759-4011-8286-E4B531DD45C3}"/>
    <cellStyle name="Normal 6 5 2 2 2 2" xfId="756" xr:uid="{82B50BEA-1DA8-4345-9A2C-DFF71E36AF00}"/>
    <cellStyle name="Normal 6 5 2 2 3" xfId="588" xr:uid="{7A41F217-6537-4A5D-8F52-3C4237F6B761}"/>
    <cellStyle name="Normal 6 5 2 3" xfId="251" xr:uid="{4CCEE736-EC83-444F-AB21-CF622613F848}"/>
    <cellStyle name="Normal 6 5 2 3 2" xfId="673" xr:uid="{5F3C27BC-58B5-469E-9A63-4454AF3EFA7C}"/>
    <cellStyle name="Normal 6 5 2 4" xfId="420" xr:uid="{869BFBFB-0A1A-477C-99DC-74A6825FF35E}"/>
    <cellStyle name="Normal 6 5 2 4 2" xfId="841" xr:uid="{25EF51BE-3F77-4ABB-A6E3-EDE2C8035A6E}"/>
    <cellStyle name="Normal 6 5 2 5" xfId="505" xr:uid="{A89FB0CB-8694-45F6-999C-638BB56E4457}"/>
    <cellStyle name="Normal 6 5 2 6" xfId="926" xr:uid="{922C8F4E-01D9-4C8D-B196-2DB89530214D}"/>
    <cellStyle name="Normal 6 5 3" xfId="124" xr:uid="{A055F004-15C0-4F2D-BBF0-6F3C2850FC8D}"/>
    <cellStyle name="Normal 6 5 3 2" xfId="292" xr:uid="{E5DDEAAE-DCFB-49BF-BD2A-3F1808562205}"/>
    <cellStyle name="Normal 6 5 3 2 2" xfId="714" xr:uid="{99FEC732-22B8-440D-A9D9-A2648F45D00A}"/>
    <cellStyle name="Normal 6 5 3 3" xfId="546" xr:uid="{C14426F9-5D4E-4332-9645-70FF5A4DD8E7}"/>
    <cellStyle name="Normal 6 5 4" xfId="209" xr:uid="{3E769BE1-5410-4F98-8C2F-B75B5CDD3840}"/>
    <cellStyle name="Normal 6 5 4 2" xfId="631" xr:uid="{0C641989-F31D-4D55-B0C5-137E23EEC6FF}"/>
    <cellStyle name="Normal 6 5 5" xfId="378" xr:uid="{A6A3F4ED-0EA0-4BA0-BD16-642D5899E0A2}"/>
    <cellStyle name="Normal 6 5 5 2" xfId="799" xr:uid="{EB7FE8E3-EA22-4DD8-8C48-299008250C51}"/>
    <cellStyle name="Normal 6 5 6" xfId="463" xr:uid="{7E71EA45-C8A1-4380-B6F1-C6F35A7A1EE6}"/>
    <cellStyle name="Normal 6 5 7" xfId="884" xr:uid="{C1E78BAD-D20B-45AF-9A43-3DAEFFDF3E52}"/>
    <cellStyle name="Normal 6 6" xfId="63" xr:uid="{5ABAFC56-C1E5-42F9-AE6A-6B47D949ED82}"/>
    <cellStyle name="Normal 6 6 2" xfId="146" xr:uid="{D9F7EFC9-DF7F-4161-AAB0-1A532E8E8029}"/>
    <cellStyle name="Normal 6 6 2 2" xfId="314" xr:uid="{65629C25-C4E5-404A-8149-C5C7FED95EDA}"/>
    <cellStyle name="Normal 6 6 2 2 2" xfId="736" xr:uid="{FE89D3AE-5B6B-4EE9-A04A-F65B0B3EEF4D}"/>
    <cellStyle name="Normal 6 6 2 3" xfId="568" xr:uid="{40F04776-CBCD-4EEF-8905-E20A0BA8D5C0}"/>
    <cellStyle name="Normal 6 6 3" xfId="231" xr:uid="{8B8BE5A7-C866-435D-BB38-D6B64938528A}"/>
    <cellStyle name="Normal 6 6 3 2" xfId="653" xr:uid="{53E46B53-5C87-4340-8CEB-A9F38AF07764}"/>
    <cellStyle name="Normal 6 6 4" xfId="400" xr:uid="{399262EA-705C-4013-873C-AA247BB78FB3}"/>
    <cellStyle name="Normal 6 6 4 2" xfId="821" xr:uid="{0753F5B2-5762-4220-8F4A-5FB0875A4A91}"/>
    <cellStyle name="Normal 6 6 5" xfId="485" xr:uid="{1FBC789C-30C9-475F-BF28-6810966C10A2}"/>
    <cellStyle name="Normal 6 6 6" xfId="906" xr:uid="{DA31A512-B214-4617-8F94-E7419E377A20}"/>
    <cellStyle name="Normal 6 7" xfId="104" xr:uid="{F49ECEC9-F7A8-480B-9127-0455C2B78F72}"/>
    <cellStyle name="Normal 6 7 2" xfId="272" xr:uid="{0973362A-9319-4F95-B79F-8413A66EF303}"/>
    <cellStyle name="Normal 6 7 2 2" xfId="694" xr:uid="{6F7E87A1-37ED-4994-AE0F-B840A3C59A2B}"/>
    <cellStyle name="Normal 6 7 3" xfId="526" xr:uid="{566EA22B-EB3A-4608-A4B0-E97EACB4D21C}"/>
    <cellStyle name="Normal 6 8" xfId="189" xr:uid="{7C48E323-95B2-4935-9139-EB090DB0ACA0}"/>
    <cellStyle name="Normal 6 8 2" xfId="611" xr:uid="{56A63DFA-B40A-4FA8-8E0B-E66825BB6DD9}"/>
    <cellStyle name="Normal 6 9" xfId="358" xr:uid="{3A14DADA-AFFD-40B0-9A49-50427BA59F55}"/>
    <cellStyle name="Normal 6 9 2" xfId="779" xr:uid="{39359E93-044F-40DF-A839-47A8AEDAEAF5}"/>
    <cellStyle name="Normal 7" xfId="35" xr:uid="{40C0165D-038E-48C1-9729-AD11DA5F7E50}"/>
    <cellStyle name="Normal 7 2" xfId="56" xr:uid="{F6AC7D6E-DFBA-4FD7-92E1-0FFD00111EDA}"/>
    <cellStyle name="Normal 7 2 2" xfId="100" xr:uid="{1003562A-15E3-40F5-9B63-888FF42D9580}"/>
    <cellStyle name="Normal 7 2 2 2" xfId="183" xr:uid="{F47F88AB-E1AD-4561-ADDB-FE668077B5AA}"/>
    <cellStyle name="Normal 7 2 2 2 2" xfId="351" xr:uid="{ACF85622-F9B5-47A2-981A-2CBEE16F5538}"/>
    <cellStyle name="Normal 7 2 2 2 2 2" xfId="773" xr:uid="{987590AC-A45D-4F43-A5D4-18DD1EAA79DA}"/>
    <cellStyle name="Normal 7 2 2 2 3" xfId="605" xr:uid="{C88F97F0-A34F-49B3-B131-E46E11A2EDF7}"/>
    <cellStyle name="Normal 7 2 2 3" xfId="268" xr:uid="{999AD076-2CEC-4BF1-9EF6-F5EC091898DB}"/>
    <cellStyle name="Normal 7 2 2 3 2" xfId="690" xr:uid="{EBFE93BD-753A-4BBE-98D2-0D9E87D2F793}"/>
    <cellStyle name="Normal 7 2 2 4" xfId="437" xr:uid="{75FBA03F-51D2-4817-9FE1-297B35EE27B3}"/>
    <cellStyle name="Normal 7 2 2 4 2" xfId="858" xr:uid="{BF176E79-DBD6-4D5F-8012-6EB9D9978E63}"/>
    <cellStyle name="Normal 7 2 2 5" xfId="522" xr:uid="{A33B1C1F-B534-4C4E-8ED6-CA5C11592A03}"/>
    <cellStyle name="Normal 7 2 2 6" xfId="943" xr:uid="{2482AB91-E4E0-45F3-A317-7EC3A0DFA75A}"/>
    <cellStyle name="Normal 7 2 3" xfId="141" xr:uid="{862C8752-643C-42FD-9108-3A7D729ABDE8}"/>
    <cellStyle name="Normal 7 2 3 2" xfId="309" xr:uid="{652F299B-9356-4100-8E3D-C5F43B696850}"/>
    <cellStyle name="Normal 7 2 3 2 2" xfId="731" xr:uid="{0259CD6D-2337-49A9-A2AF-682A173C3098}"/>
    <cellStyle name="Normal 7 2 3 3" xfId="563" xr:uid="{A9750836-EC09-42A2-9BF1-15E397A93E78}"/>
    <cellStyle name="Normal 7 2 4" xfId="226" xr:uid="{B7D849B5-E7F6-4AC2-8DEC-F4068DE13DE4}"/>
    <cellStyle name="Normal 7 2 4 2" xfId="648" xr:uid="{D531BF0C-9487-4DC8-A30C-173FB5ECD114}"/>
    <cellStyle name="Normal 7 2 5" xfId="395" xr:uid="{FED1C704-7C44-4053-B701-8FA6AD9CB25B}"/>
    <cellStyle name="Normal 7 2 5 2" xfId="816" xr:uid="{C2854BBD-8E64-4FC2-99CE-DC2718A91B4C}"/>
    <cellStyle name="Normal 7 2 6" xfId="480" xr:uid="{E8FD733F-D563-40D2-97C0-3E0960D5D356}"/>
    <cellStyle name="Normal 7 2 7" xfId="901" xr:uid="{D4E31BC1-2619-449D-88F5-27F9AB717BBD}"/>
    <cellStyle name="Normal 7 3" xfId="80" xr:uid="{FAB7F10C-D524-431C-A8F0-6FA3CF226FE5}"/>
    <cellStyle name="Normal 7 3 2" xfId="163" xr:uid="{11D2FAFC-F903-41DC-AD0F-160F0AE8B489}"/>
    <cellStyle name="Normal 7 3 2 2" xfId="331" xr:uid="{FB87DF86-9BD2-42C5-97AF-767A780D7942}"/>
    <cellStyle name="Normal 7 3 2 2 2" xfId="753" xr:uid="{C3A719CD-5602-4C79-8BC3-1FCDBD7D6B91}"/>
    <cellStyle name="Normal 7 3 2 3" xfId="585" xr:uid="{87F10820-3AF7-494B-8681-357472B72D08}"/>
    <cellStyle name="Normal 7 3 3" xfId="248" xr:uid="{B37A6DA1-FA08-4E83-8DC7-3ECE31E422E5}"/>
    <cellStyle name="Normal 7 3 3 2" xfId="670" xr:uid="{2CEE24EE-4F80-49FD-BE03-BD70CE2A968F}"/>
    <cellStyle name="Normal 7 3 4" xfId="417" xr:uid="{96182577-7F09-4881-B3A8-27A1747A2B44}"/>
    <cellStyle name="Normal 7 3 4 2" xfId="838" xr:uid="{FACC50C1-4926-494C-8D9D-79B92C0AF9F3}"/>
    <cellStyle name="Normal 7 3 5" xfId="502" xr:uid="{17F8E147-F7AA-4B64-B02F-50DCF1D38D2E}"/>
    <cellStyle name="Normal 7 3 6" xfId="923" xr:uid="{72C6E727-D6B5-4830-9CD3-0B7AE0F4F0CA}"/>
    <cellStyle name="Normal 7 4" xfId="121" xr:uid="{D918E383-E666-4FC8-82A7-E665A7612D4F}"/>
    <cellStyle name="Normal 7 4 2" xfId="289" xr:uid="{1628E42F-FBE9-4FB7-9142-E7389EBB4FEE}"/>
    <cellStyle name="Normal 7 4 2 2" xfId="711" xr:uid="{D4E2C1C1-CAD7-486D-A3AE-986CE4D004E1}"/>
    <cellStyle name="Normal 7 4 3" xfId="543" xr:uid="{C41DFBA1-8E8B-4E94-BAB9-6A4294678104}"/>
    <cellStyle name="Normal 7 5" xfId="206" xr:uid="{B4B333DB-22AE-4184-A14F-55873B0B86D0}"/>
    <cellStyle name="Normal 7 5 2" xfId="628" xr:uid="{53ABBEBB-FB22-460A-87C1-BF342C7971A7}"/>
    <cellStyle name="Normal 7 6" xfId="375" xr:uid="{265E048C-09DC-46C4-9E97-F3D974989A14}"/>
    <cellStyle name="Normal 7 6 2" xfId="796" xr:uid="{4C944154-A7FA-40D0-8D18-4C23D7FD9401}"/>
    <cellStyle name="Normal 7 7" xfId="460" xr:uid="{26BDB8D2-1F47-4466-B6BA-2FABDAD61295}"/>
    <cellStyle name="Normal 7 8" xfId="881" xr:uid="{2BC7A38C-D4A1-472A-AA4E-10E339E6FA4C}"/>
    <cellStyle name="Normal 8" xfId="40" xr:uid="{96E94673-79AB-4043-98C0-738A9ADFE954}"/>
    <cellStyle name="Normal 8 2" xfId="58" xr:uid="{039FE842-6E12-4263-A6E2-0B7A7328A111}"/>
    <cellStyle name="Normal 8 3" xfId="60" xr:uid="{1F8B2883-C3A3-4BDC-B76D-15B80FCD34D7}"/>
    <cellStyle name="Normal 9" xfId="59" xr:uid="{EBD3E4D7-AF3E-4464-9AA1-B1EBCAD5E667}"/>
    <cellStyle name="Normal 9 2" xfId="102" xr:uid="{A653EB38-80C8-4CEB-A686-2A0C1D0F3872}"/>
    <cellStyle name="Normal 9 2 2" xfId="185" xr:uid="{82684F39-0D20-443A-AB8E-57A781BD2197}"/>
    <cellStyle name="Normal 9 2 2 2" xfId="353" xr:uid="{C44FBDB1-D847-49A5-8F46-880FDB854F42}"/>
    <cellStyle name="Normal 9 2 2 2 2" xfId="775" xr:uid="{2371D714-5D16-4975-BA87-415093FF553F}"/>
    <cellStyle name="Normal 9 2 2 3" xfId="607" xr:uid="{37F23758-663A-43ED-8473-9D032C0763D6}"/>
    <cellStyle name="Normal 9 2 3" xfId="270" xr:uid="{C02604D0-BD5C-4B96-89C4-45AD92293417}"/>
    <cellStyle name="Normal 9 2 3 2" xfId="692" xr:uid="{38BAF025-88B5-4F88-AB7D-0DDB9DDA82CD}"/>
    <cellStyle name="Normal 9 2 4" xfId="439" xr:uid="{ABDD3750-A707-4605-9C05-9935C397B96F}"/>
    <cellStyle name="Normal 9 2 4 2" xfId="860" xr:uid="{650A6B5D-603D-4239-B4B7-AB54C2B3A509}"/>
    <cellStyle name="Normal 9 2 5" xfId="524" xr:uid="{44E22BF2-2C01-4DB2-ADA9-6A4DECD0D0BE}"/>
    <cellStyle name="Normal 9 2 6" xfId="945" xr:uid="{3C59F3CA-A8B5-4825-8D58-1545D79BF803}"/>
    <cellStyle name="Normal 9 3" xfId="143" xr:uid="{F1CA1179-524F-4A77-B207-53EC2B1B2C6D}"/>
    <cellStyle name="Normal 9 3 2" xfId="311" xr:uid="{6DBA884A-485E-4CED-93B9-9488DEC6EC5F}"/>
    <cellStyle name="Normal 9 3 2 2" xfId="733" xr:uid="{6F7C44AE-3ED3-4E87-868E-F498D1F45581}"/>
    <cellStyle name="Normal 9 3 3" xfId="565" xr:uid="{0C3EB283-097F-4589-96C7-78571DDAC1AA}"/>
    <cellStyle name="Normal 9 4" xfId="228" xr:uid="{D4E18360-AFAA-4FDB-9347-5E8D75A76906}"/>
    <cellStyle name="Normal 9 4 2" xfId="650" xr:uid="{1FA3A486-D65C-4C28-B79F-8C6492573BB2}"/>
    <cellStyle name="Normal 9 5" xfId="397" xr:uid="{C1F5D36A-D85D-45B3-BFC0-AA593D774090}"/>
    <cellStyle name="Normal 9 5 2" xfId="818" xr:uid="{E3116920-60DE-40E3-AF45-D1582A91EA7C}"/>
    <cellStyle name="Normal 9 6" xfId="482" xr:uid="{A8489B0A-09CA-4628-8EDB-F036178DC522}"/>
    <cellStyle name="Normal 9 7" xfId="903" xr:uid="{06BC3B1E-F47A-40AB-B7E3-6997844DDBBD}"/>
    <cellStyle name="Note" xfId="3" builtinId="10"/>
    <cellStyle name="Percent" xfId="2" builtinId="5"/>
    <cellStyle name="Percent 2" xfId="356" xr:uid="{DB192550-CA2D-48E0-9B20-A072779D6F89}"/>
  </cellStyles>
  <dxfs count="28"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indexed="10"/>
      </font>
    </dxf>
    <dxf>
      <fill>
        <patternFill>
          <bgColor rgb="FFFFFF00"/>
        </patternFill>
      </fill>
    </dxf>
    <dxf>
      <font>
        <condense val="0"/>
        <extend val="0"/>
        <color indexed="22"/>
      </font>
    </dxf>
    <dxf>
      <font>
        <condense val="0"/>
        <extend val="0"/>
        <color indexed="10"/>
      </font>
    </dxf>
    <dxf>
      <font>
        <condense val="0"/>
        <extend val="0"/>
        <color indexed="2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22"/>
      </font>
    </dxf>
    <dxf>
      <font>
        <condense val="0"/>
        <extend val="0"/>
        <color indexed="2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22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22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  <color rgb="FFFFFFCC"/>
      <color rgb="FFFFFF99"/>
      <color rgb="FFCCFFFF"/>
      <color rgb="FF99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50"/>
    <pageSetUpPr fitToPage="1"/>
  </sheetPr>
  <dimension ref="A1:X179"/>
  <sheetViews>
    <sheetView showGridLines="0" tabSelected="1" topLeftCell="A6" zoomScaleNormal="100" workbookViewId="0">
      <selection activeCell="D17" sqref="D17"/>
    </sheetView>
  </sheetViews>
  <sheetFormatPr defaultColWidth="9.140625" defaultRowHeight="12" x14ac:dyDescent="0.2"/>
  <cols>
    <col min="1" max="1" width="9.140625" style="8" customWidth="1"/>
    <col min="2" max="2" width="52.5703125" style="8" customWidth="1"/>
    <col min="3" max="3" width="10.140625" style="8" customWidth="1"/>
    <col min="4" max="4" width="10.7109375" style="4" customWidth="1"/>
    <col min="5" max="5" width="14.85546875" style="33" customWidth="1"/>
    <col min="6" max="6" width="10.7109375" style="5" hidden="1" customWidth="1"/>
    <col min="7" max="7" width="12.42578125" style="1" hidden="1" customWidth="1"/>
    <col min="8" max="8" width="12.42578125" style="33" hidden="1" customWidth="1"/>
    <col min="9" max="9" width="9.140625" style="1" hidden="1" customWidth="1"/>
    <col min="10" max="10" width="9.140625" style="727" hidden="1" customWidth="1"/>
    <col min="11" max="11" width="9.140625" style="1" hidden="1" customWidth="1"/>
    <col min="12" max="12" width="10.7109375" style="5" hidden="1" customWidth="1"/>
    <col min="13" max="13" width="20.28515625" style="743" hidden="1" customWidth="1"/>
    <col min="14" max="14" width="18.42578125" style="1" hidden="1" customWidth="1"/>
    <col min="15" max="15" width="32.7109375" style="1" hidden="1" customWidth="1"/>
    <col min="16" max="16" width="9.140625" style="1" hidden="1" customWidth="1"/>
    <col min="17" max="18" width="9.140625" style="1"/>
    <col min="19" max="19" width="47.85546875" style="1" hidden="1" customWidth="1"/>
    <col min="20" max="20" width="27.28515625" style="1" hidden="1" customWidth="1"/>
    <col min="21" max="21" width="60" style="714" hidden="1" customWidth="1"/>
    <col min="22" max="16384" width="9.140625" style="1"/>
  </cols>
  <sheetData>
    <row r="1" spans="1:24" ht="21" hidden="1" customHeight="1" x14ac:dyDescent="0.2">
      <c r="A1" s="15"/>
      <c r="B1" s="16" t="s">
        <v>0</v>
      </c>
      <c r="C1" s="16"/>
      <c r="D1" s="17" t="str">
        <f>IF(SUM(D10:D177)=0,"","X")</f>
        <v/>
      </c>
      <c r="E1" s="28" t="str">
        <f>IF(SUM(E10:E177)=0,"","X")</f>
        <v/>
      </c>
      <c r="F1" s="17" t="str">
        <f>IF(SUM(F10:F177)=0,"","X")</f>
        <v/>
      </c>
      <c r="G1" s="17" t="e">
        <f>IF(AVERAGE(G10:G177)=1,"","X")</f>
        <v>#DIV/0!</v>
      </c>
      <c r="H1" s="28"/>
      <c r="I1" s="18" t="s">
        <v>0</v>
      </c>
      <c r="J1" s="722"/>
      <c r="K1" s="18"/>
      <c r="L1" s="17" t="str">
        <f>IF(SUM(L10:L177)=0,"","X")</f>
        <v>X</v>
      </c>
      <c r="M1" s="742" t="str">
        <f>IF(AVERAGE(M10:M177)=1,"","X")</f>
        <v>X</v>
      </c>
      <c r="N1" s="19"/>
    </row>
    <row r="2" spans="1:24" ht="21" hidden="1" customHeight="1" x14ac:dyDescent="0.2">
      <c r="A2" s="20"/>
      <c r="B2" s="21"/>
      <c r="C2" s="21"/>
      <c r="D2" s="2">
        <v>8</v>
      </c>
      <c r="E2" s="29">
        <v>9</v>
      </c>
      <c r="F2" s="2">
        <v>23</v>
      </c>
      <c r="G2" s="2">
        <v>24</v>
      </c>
      <c r="H2" s="29"/>
      <c r="I2" s="2">
        <v>25</v>
      </c>
      <c r="J2" s="723"/>
      <c r="K2" s="2"/>
      <c r="L2" s="2">
        <v>32</v>
      </c>
      <c r="M2" s="743">
        <v>33</v>
      </c>
      <c r="N2" s="2">
        <v>38</v>
      </c>
    </row>
    <row r="3" spans="1:24" ht="21" hidden="1" customHeight="1" x14ac:dyDescent="0.2">
      <c r="A3" s="20">
        <v>1</v>
      </c>
      <c r="B3" s="8">
        <v>2</v>
      </c>
      <c r="D3" s="2">
        <v>9</v>
      </c>
      <c r="E3" s="29">
        <v>10</v>
      </c>
      <c r="F3" s="2">
        <v>24</v>
      </c>
      <c r="G3" s="2">
        <v>25</v>
      </c>
      <c r="H3" s="29"/>
      <c r="I3" s="2">
        <v>26</v>
      </c>
      <c r="J3" s="723"/>
      <c r="K3" s="2"/>
      <c r="L3" s="2">
        <v>33</v>
      </c>
      <c r="M3" s="743">
        <v>34</v>
      </c>
      <c r="N3" s="2">
        <v>39</v>
      </c>
    </row>
    <row r="4" spans="1:24" ht="21" hidden="1" customHeight="1" x14ac:dyDescent="0.2">
      <c r="A4" s="751" t="e">
        <f>IF(#REF!="","",#REF!&amp;", "&amp;#REF!&amp;" (Block "&amp;#REF!&amp;" Lot "&amp;#REF!&amp;")")</f>
        <v>#REF!</v>
      </c>
      <c r="B4" s="752"/>
      <c r="C4" s="700"/>
      <c r="D4" s="2"/>
      <c r="E4" s="29"/>
      <c r="F4" s="2"/>
      <c r="G4" s="2"/>
      <c r="H4" s="29"/>
      <c r="I4" s="2"/>
      <c r="J4" s="723"/>
      <c r="K4" s="2"/>
      <c r="L4" s="2"/>
      <c r="N4" s="22"/>
    </row>
    <row r="5" spans="1:24" ht="21" hidden="1" customHeight="1" x14ac:dyDescent="0.2">
      <c r="A5" s="20"/>
      <c r="D5" s="2"/>
      <c r="E5" s="29"/>
      <c r="F5" s="2"/>
      <c r="G5" s="2"/>
      <c r="H5" s="29"/>
      <c r="I5" s="2"/>
      <c r="J5" s="723"/>
      <c r="K5" s="2"/>
      <c r="L5" s="2"/>
      <c r="N5" s="22"/>
    </row>
    <row r="6" spans="1:24" ht="30.75" customHeight="1" thickBot="1" x14ac:dyDescent="0.25">
      <c r="A6" s="756" t="s">
        <v>1</v>
      </c>
      <c r="B6" s="757"/>
      <c r="C6" s="757"/>
      <c r="D6" s="757"/>
      <c r="E6" s="757"/>
      <c r="F6" s="2"/>
      <c r="G6" s="2"/>
      <c r="H6" s="819" t="s">
        <v>922</v>
      </c>
      <c r="I6" s="2"/>
      <c r="J6" s="820" t="s">
        <v>923</v>
      </c>
      <c r="K6" s="821"/>
      <c r="L6" s="2"/>
      <c r="N6" s="22"/>
    </row>
    <row r="7" spans="1:24" ht="21" customHeight="1" thickBot="1" x14ac:dyDescent="0.25">
      <c r="A7" s="645" t="s">
        <v>2</v>
      </c>
      <c r="B7" s="646"/>
      <c r="C7" s="647"/>
      <c r="D7" s="648" t="s">
        <v>3</v>
      </c>
      <c r="E7" s="649"/>
      <c r="F7" s="754"/>
      <c r="G7" s="755"/>
      <c r="H7" s="719"/>
      <c r="I7" s="423"/>
      <c r="J7" s="724"/>
      <c r="K7" s="423"/>
      <c r="L7" s="699"/>
      <c r="M7" s="744" t="s">
        <v>4</v>
      </c>
      <c r="N7" s="438"/>
    </row>
    <row r="8" spans="1:24" s="6" customFormat="1" ht="21" customHeight="1" thickBot="1" x14ac:dyDescent="0.25">
      <c r="A8" s="650" t="s">
        <v>5</v>
      </c>
      <c r="B8" s="651"/>
      <c r="C8" s="652"/>
      <c r="D8" s="653"/>
      <c r="E8" s="654">
        <f>SUM(E10:E177)</f>
        <v>0</v>
      </c>
      <c r="F8" s="30"/>
      <c r="G8" s="30"/>
      <c r="H8" s="30"/>
      <c r="I8" s="30"/>
      <c r="J8" s="725"/>
      <c r="K8" s="30"/>
      <c r="L8" s="30"/>
      <c r="M8" s="437">
        <f>SUM(M10:M177)</f>
        <v>0</v>
      </c>
      <c r="N8" s="26"/>
      <c r="O8" s="416"/>
      <c r="P8" s="416"/>
      <c r="Q8" s="416"/>
      <c r="R8" s="416"/>
      <c r="S8" s="416"/>
      <c r="T8" s="416"/>
      <c r="U8" s="715"/>
      <c r="V8" s="416"/>
      <c r="W8" s="416"/>
      <c r="X8" s="416"/>
    </row>
    <row r="9" spans="1:24" s="3" customFormat="1" ht="11.25" x14ac:dyDescent="0.2">
      <c r="A9" s="481" t="s">
        <v>6</v>
      </c>
      <c r="B9" s="611" t="s">
        <v>7</v>
      </c>
      <c r="C9" s="644" t="s">
        <v>8</v>
      </c>
      <c r="D9" s="11" t="s">
        <v>9</v>
      </c>
      <c r="E9" s="31" t="s">
        <v>10</v>
      </c>
      <c r="F9" s="11" t="s">
        <v>11</v>
      </c>
      <c r="G9" s="12" t="s">
        <v>12</v>
      </c>
      <c r="H9" s="31" t="s">
        <v>919</v>
      </c>
      <c r="I9" s="10" t="s">
        <v>13</v>
      </c>
      <c r="J9" s="726" t="s">
        <v>920</v>
      </c>
      <c r="K9" s="10" t="s">
        <v>921</v>
      </c>
      <c r="L9" s="11" t="s">
        <v>14</v>
      </c>
      <c r="M9" s="745" t="s">
        <v>15</v>
      </c>
      <c r="N9" s="13" t="s">
        <v>16</v>
      </c>
      <c r="O9" s="418">
        <v>2024</v>
      </c>
      <c r="S9" s="665" t="s">
        <v>17</v>
      </c>
      <c r="T9" s="665" t="s">
        <v>18</v>
      </c>
      <c r="U9" s="718" t="s">
        <v>19</v>
      </c>
    </row>
    <row r="10" spans="1:24" ht="12.75" x14ac:dyDescent="0.2">
      <c r="A10" s="482" t="s">
        <v>20</v>
      </c>
      <c r="B10" s="483" t="s">
        <v>21</v>
      </c>
      <c r="C10" s="612" t="s">
        <v>22</v>
      </c>
      <c r="D10" s="7">
        <v>0</v>
      </c>
      <c r="E10" s="32">
        <v>0</v>
      </c>
      <c r="F10" s="14">
        <v>0</v>
      </c>
      <c r="G10" s="27" t="str">
        <f>IF(F10=0,"",F10/D10)</f>
        <v/>
      </c>
      <c r="H10" s="720" t="e">
        <f>F10*G10</f>
        <v>#VALUE!</v>
      </c>
      <c r="I10" s="36"/>
      <c r="J10" s="735"/>
      <c r="K10" s="36">
        <f t="shared" ref="K10:K74" si="0">I10*J10</f>
        <v>0</v>
      </c>
      <c r="L10" s="728">
        <f>MIN(D10,F10,I10)</f>
        <v>0</v>
      </c>
      <c r="M10" s="746">
        <f>MIN(L10*O10,E10)</f>
        <v>0</v>
      </c>
      <c r="N10" s="35"/>
      <c r="O10" s="426">
        <v>22.23</v>
      </c>
      <c r="S10" s="666" t="s">
        <v>23</v>
      </c>
      <c r="T10" s="693" t="str">
        <f>IF(M10&gt;0, S10, "")</f>
        <v/>
      </c>
      <c r="U10" s="716" t="str">
        <f>IF(M10&gt;0, M10, "")</f>
        <v/>
      </c>
    </row>
    <row r="11" spans="1:24" ht="12.75" x14ac:dyDescent="0.2">
      <c r="A11" s="482" t="s">
        <v>24</v>
      </c>
      <c r="B11" s="483" t="s">
        <v>25</v>
      </c>
      <c r="C11" s="612" t="s">
        <v>26</v>
      </c>
      <c r="D11" s="7">
        <v>0</v>
      </c>
      <c r="E11" s="32">
        <v>0</v>
      </c>
      <c r="F11" s="14"/>
      <c r="G11" s="27" t="str">
        <f>IF(F11=0,"",F11/D11)</f>
        <v/>
      </c>
      <c r="H11" s="720" t="e">
        <f t="shared" ref="H10:H74" si="1">F11*G11</f>
        <v>#VALUE!</v>
      </c>
      <c r="I11" s="36"/>
      <c r="J11" s="735"/>
      <c r="K11" s="36">
        <f t="shared" si="0"/>
        <v>0</v>
      </c>
      <c r="L11" s="728">
        <f t="shared" ref="L11:L63" si="2">MIN(D11,F11,I11)</f>
        <v>0</v>
      </c>
      <c r="M11" s="746">
        <f t="shared" ref="M11:M58" si="3">MIN(L11*O11,E11)</f>
        <v>0</v>
      </c>
      <c r="N11" s="35"/>
      <c r="O11" s="426">
        <v>21</v>
      </c>
      <c r="S11" s="666" t="s">
        <v>27</v>
      </c>
      <c r="T11" s="693" t="str">
        <f t="shared" ref="T11:T74" si="4">IF(M11&gt;0, S11, "")</f>
        <v/>
      </c>
      <c r="U11" s="716" t="str">
        <f t="shared" ref="U11:U74" si="5">IF(M11&gt;0, M11, "")</f>
        <v/>
      </c>
    </row>
    <row r="12" spans="1:24" ht="12.75" x14ac:dyDescent="0.2">
      <c r="A12" s="484" t="s">
        <v>28</v>
      </c>
      <c r="B12" s="485" t="s">
        <v>29</v>
      </c>
      <c r="C12" s="613"/>
      <c r="D12" s="586"/>
      <c r="E12" s="512">
        <f>'Deleading Claim Detail'!E1</f>
        <v>0</v>
      </c>
      <c r="F12" s="439"/>
      <c r="G12" s="440"/>
      <c r="H12" s="721">
        <f t="shared" si="1"/>
        <v>0</v>
      </c>
      <c r="I12" s="441"/>
      <c r="J12" s="736"/>
      <c r="K12" s="441">
        <f>I12*J12</f>
        <v>0</v>
      </c>
      <c r="L12" s="729">
        <f t="shared" si="2"/>
        <v>0</v>
      </c>
      <c r="M12" s="746">
        <f>K12</f>
        <v>0</v>
      </c>
      <c r="N12" s="352"/>
      <c r="O12" s="427"/>
      <c r="S12" s="695" t="s">
        <v>30</v>
      </c>
      <c r="T12" s="693" t="str">
        <f t="shared" si="4"/>
        <v/>
      </c>
      <c r="U12" s="716" t="str">
        <f t="shared" si="5"/>
        <v/>
      </c>
    </row>
    <row r="13" spans="1:24" ht="12.75" x14ac:dyDescent="0.2">
      <c r="A13" s="482" t="s">
        <v>31</v>
      </c>
      <c r="B13" s="486" t="s">
        <v>32</v>
      </c>
      <c r="C13" s="614" t="s">
        <v>33</v>
      </c>
      <c r="D13" s="7">
        <v>0</v>
      </c>
      <c r="E13" s="32">
        <v>0</v>
      </c>
      <c r="F13" s="14"/>
      <c r="G13" s="27" t="str">
        <f t="shared" ref="G13:G44" si="6">IF(F13=0,"",F13/D13)</f>
        <v/>
      </c>
      <c r="H13" s="720" t="e">
        <f t="shared" si="1"/>
        <v>#VALUE!</v>
      </c>
      <c r="I13" s="36"/>
      <c r="J13" s="735"/>
      <c r="K13" s="36">
        <f t="shared" si="0"/>
        <v>0</v>
      </c>
      <c r="L13" s="728">
        <f t="shared" si="2"/>
        <v>0</v>
      </c>
      <c r="M13" s="746">
        <f t="shared" si="3"/>
        <v>0</v>
      </c>
      <c r="N13" s="35"/>
      <c r="O13" s="426">
        <v>4929.1000000000004</v>
      </c>
      <c r="S13" s="667" t="s">
        <v>34</v>
      </c>
      <c r="T13" s="693" t="str">
        <f t="shared" si="4"/>
        <v/>
      </c>
      <c r="U13" s="716" t="str">
        <f t="shared" si="5"/>
        <v/>
      </c>
    </row>
    <row r="14" spans="1:24" ht="12.75" x14ac:dyDescent="0.2">
      <c r="A14" s="482" t="s">
        <v>35</v>
      </c>
      <c r="B14" s="486" t="s">
        <v>36</v>
      </c>
      <c r="C14" s="614" t="s">
        <v>22</v>
      </c>
      <c r="D14" s="7">
        <v>0</v>
      </c>
      <c r="E14" s="32">
        <v>0</v>
      </c>
      <c r="F14" s="14"/>
      <c r="G14" s="27" t="str">
        <f t="shared" si="6"/>
        <v/>
      </c>
      <c r="H14" s="720" t="e">
        <f t="shared" si="1"/>
        <v>#VALUE!</v>
      </c>
      <c r="I14" s="36"/>
      <c r="J14" s="735"/>
      <c r="K14" s="36">
        <f t="shared" si="0"/>
        <v>0</v>
      </c>
      <c r="L14" s="728">
        <f t="shared" si="2"/>
        <v>0</v>
      </c>
      <c r="M14" s="746">
        <f t="shared" si="3"/>
        <v>0</v>
      </c>
      <c r="N14" s="35"/>
      <c r="O14" s="426">
        <v>26.01</v>
      </c>
      <c r="S14" s="667" t="s">
        <v>37</v>
      </c>
      <c r="T14" s="693" t="str">
        <f t="shared" si="4"/>
        <v/>
      </c>
      <c r="U14" s="716" t="str">
        <f t="shared" si="5"/>
        <v/>
      </c>
    </row>
    <row r="15" spans="1:24" ht="12.75" x14ac:dyDescent="0.2">
      <c r="A15" s="482" t="s">
        <v>38</v>
      </c>
      <c r="B15" s="486" t="s">
        <v>39</v>
      </c>
      <c r="C15" s="614" t="s">
        <v>22</v>
      </c>
      <c r="D15" s="7">
        <v>0</v>
      </c>
      <c r="E15" s="32">
        <v>0</v>
      </c>
      <c r="F15" s="14"/>
      <c r="G15" s="27" t="str">
        <f t="shared" si="6"/>
        <v/>
      </c>
      <c r="H15" s="720" t="e">
        <f t="shared" si="1"/>
        <v>#VALUE!</v>
      </c>
      <c r="I15" s="36"/>
      <c r="J15" s="735"/>
      <c r="K15" s="36">
        <f t="shared" si="0"/>
        <v>0</v>
      </c>
      <c r="L15" s="728">
        <f t="shared" si="2"/>
        <v>0</v>
      </c>
      <c r="M15" s="746">
        <f t="shared" si="3"/>
        <v>0</v>
      </c>
      <c r="N15" s="35"/>
      <c r="O15" s="426">
        <v>4.93</v>
      </c>
      <c r="S15" s="667" t="s">
        <v>40</v>
      </c>
      <c r="T15" s="693" t="str">
        <f t="shared" si="4"/>
        <v/>
      </c>
      <c r="U15" s="716" t="str">
        <f t="shared" si="5"/>
        <v/>
      </c>
    </row>
    <row r="16" spans="1:24" ht="12.75" x14ac:dyDescent="0.2">
      <c r="A16" s="482" t="s">
        <v>41</v>
      </c>
      <c r="B16" s="487" t="s">
        <v>42</v>
      </c>
      <c r="C16" s="615" t="s">
        <v>22</v>
      </c>
      <c r="D16" s="7">
        <v>0</v>
      </c>
      <c r="E16" s="32">
        <v>0</v>
      </c>
      <c r="F16" s="14"/>
      <c r="G16" s="27" t="str">
        <f t="shared" si="6"/>
        <v/>
      </c>
      <c r="H16" s="720" t="e">
        <f t="shared" si="1"/>
        <v>#VALUE!</v>
      </c>
      <c r="I16" s="36"/>
      <c r="J16" s="735"/>
      <c r="K16" s="36">
        <f t="shared" si="0"/>
        <v>0</v>
      </c>
      <c r="L16" s="728">
        <f t="shared" si="2"/>
        <v>0</v>
      </c>
      <c r="M16" s="746">
        <f t="shared" si="3"/>
        <v>0</v>
      </c>
      <c r="N16" s="35"/>
      <c r="O16" s="426">
        <v>4.03</v>
      </c>
      <c r="S16" s="668" t="s">
        <v>43</v>
      </c>
      <c r="T16" s="693" t="str">
        <f t="shared" si="4"/>
        <v/>
      </c>
      <c r="U16" s="716" t="str">
        <f t="shared" si="5"/>
        <v/>
      </c>
    </row>
    <row r="17" spans="1:23" ht="12.75" x14ac:dyDescent="0.2">
      <c r="A17" s="482" t="s">
        <v>44</v>
      </c>
      <c r="B17" s="487" t="s">
        <v>45</v>
      </c>
      <c r="C17" s="615" t="s">
        <v>46</v>
      </c>
      <c r="D17" s="7">
        <v>0</v>
      </c>
      <c r="E17" s="32">
        <v>0</v>
      </c>
      <c r="F17" s="14"/>
      <c r="G17" s="27" t="str">
        <f t="shared" si="6"/>
        <v/>
      </c>
      <c r="H17" s="720" t="e">
        <f t="shared" si="1"/>
        <v>#VALUE!</v>
      </c>
      <c r="I17" s="36"/>
      <c r="J17" s="735"/>
      <c r="K17" s="36">
        <f t="shared" si="0"/>
        <v>0</v>
      </c>
      <c r="L17" s="728">
        <f t="shared" si="2"/>
        <v>0</v>
      </c>
      <c r="M17" s="746">
        <f t="shared" si="3"/>
        <v>0</v>
      </c>
      <c r="N17" s="35"/>
      <c r="O17" s="426">
        <v>223231</v>
      </c>
      <c r="S17" s="668" t="s">
        <v>47</v>
      </c>
      <c r="T17" s="693" t="str">
        <f t="shared" si="4"/>
        <v/>
      </c>
      <c r="U17" s="716" t="str">
        <f t="shared" si="5"/>
        <v/>
      </c>
    </row>
    <row r="18" spans="1:23" ht="12.75" x14ac:dyDescent="0.2">
      <c r="A18" s="482" t="s">
        <v>48</v>
      </c>
      <c r="B18" s="486" t="s">
        <v>49</v>
      </c>
      <c r="C18" s="614" t="s">
        <v>33</v>
      </c>
      <c r="D18" s="7">
        <v>0</v>
      </c>
      <c r="E18" s="32">
        <v>0</v>
      </c>
      <c r="F18" s="14"/>
      <c r="G18" s="27" t="str">
        <f t="shared" si="6"/>
        <v/>
      </c>
      <c r="H18" s="720" t="e">
        <f t="shared" si="1"/>
        <v>#VALUE!</v>
      </c>
      <c r="I18" s="36"/>
      <c r="J18" s="735"/>
      <c r="K18" s="36">
        <f t="shared" si="0"/>
        <v>0</v>
      </c>
      <c r="L18" s="728">
        <f t="shared" si="2"/>
        <v>0</v>
      </c>
      <c r="M18" s="746">
        <f t="shared" si="3"/>
        <v>0</v>
      </c>
      <c r="N18" s="35"/>
      <c r="O18" s="426">
        <v>16365</v>
      </c>
      <c r="S18" s="667" t="s">
        <v>50</v>
      </c>
      <c r="T18" s="693" t="str">
        <f t="shared" si="4"/>
        <v/>
      </c>
      <c r="U18" s="716" t="str">
        <f t="shared" si="5"/>
        <v/>
      </c>
    </row>
    <row r="19" spans="1:23" ht="12.75" x14ac:dyDescent="0.2">
      <c r="A19" s="482" t="s">
        <v>51</v>
      </c>
      <c r="B19" s="487" t="s">
        <v>52</v>
      </c>
      <c r="C19" s="615" t="s">
        <v>46</v>
      </c>
      <c r="D19" s="7">
        <v>0</v>
      </c>
      <c r="E19" s="32">
        <v>0</v>
      </c>
      <c r="F19" s="14"/>
      <c r="G19" s="27" t="str">
        <f t="shared" si="6"/>
        <v/>
      </c>
      <c r="H19" s="720" t="e">
        <f t="shared" si="1"/>
        <v>#VALUE!</v>
      </c>
      <c r="I19" s="36"/>
      <c r="J19" s="735"/>
      <c r="K19" s="36">
        <f t="shared" si="0"/>
        <v>0</v>
      </c>
      <c r="L19" s="728">
        <f t="shared" si="2"/>
        <v>0</v>
      </c>
      <c r="M19" s="746">
        <f t="shared" si="3"/>
        <v>0</v>
      </c>
      <c r="N19" s="35"/>
      <c r="O19" s="426">
        <v>14136</v>
      </c>
      <c r="S19" s="668" t="s">
        <v>53</v>
      </c>
      <c r="T19" s="693" t="str">
        <f t="shared" si="4"/>
        <v/>
      </c>
      <c r="U19" s="716" t="str">
        <f t="shared" si="5"/>
        <v/>
      </c>
      <c r="W19" s="1" t="s">
        <v>54</v>
      </c>
    </row>
    <row r="20" spans="1:23" ht="12.75" x14ac:dyDescent="0.2">
      <c r="A20" s="482" t="s">
        <v>55</v>
      </c>
      <c r="B20" s="487" t="s">
        <v>56</v>
      </c>
      <c r="C20" s="615" t="s">
        <v>46</v>
      </c>
      <c r="D20" s="7">
        <v>0</v>
      </c>
      <c r="E20" s="32">
        <v>0</v>
      </c>
      <c r="F20" s="14"/>
      <c r="G20" s="27" t="str">
        <f t="shared" si="6"/>
        <v/>
      </c>
      <c r="H20" s="720" t="e">
        <f t="shared" si="1"/>
        <v>#VALUE!</v>
      </c>
      <c r="I20" s="36"/>
      <c r="J20" s="735"/>
      <c r="K20" s="36">
        <f t="shared" si="0"/>
        <v>0</v>
      </c>
      <c r="L20" s="728">
        <f t="shared" si="2"/>
        <v>0</v>
      </c>
      <c r="M20" s="746">
        <f t="shared" si="3"/>
        <v>0</v>
      </c>
      <c r="N20" s="35"/>
      <c r="O20" s="426">
        <v>28931</v>
      </c>
      <c r="S20" s="668" t="s">
        <v>57</v>
      </c>
      <c r="T20" s="693" t="str">
        <f t="shared" si="4"/>
        <v/>
      </c>
      <c r="U20" s="716" t="str">
        <f t="shared" si="5"/>
        <v/>
      </c>
    </row>
    <row r="21" spans="1:23" ht="12.75" x14ac:dyDescent="0.2">
      <c r="A21" s="482" t="s">
        <v>58</v>
      </c>
      <c r="B21" s="487" t="s">
        <v>59</v>
      </c>
      <c r="C21" s="615" t="s">
        <v>46</v>
      </c>
      <c r="D21" s="7">
        <v>0</v>
      </c>
      <c r="E21" s="32">
        <v>0</v>
      </c>
      <c r="F21" s="14"/>
      <c r="G21" s="27" t="str">
        <f t="shared" si="6"/>
        <v/>
      </c>
      <c r="H21" s="720" t="e">
        <f t="shared" si="1"/>
        <v>#VALUE!</v>
      </c>
      <c r="I21" s="36"/>
      <c r="J21" s="735"/>
      <c r="K21" s="36">
        <f t="shared" si="0"/>
        <v>0</v>
      </c>
      <c r="L21" s="728">
        <f t="shared" si="2"/>
        <v>0</v>
      </c>
      <c r="M21" s="746">
        <f t="shared" si="3"/>
        <v>0</v>
      </c>
      <c r="N21" s="35"/>
      <c r="O21" s="426">
        <v>14134.2</v>
      </c>
      <c r="S21" s="668" t="s">
        <v>60</v>
      </c>
      <c r="T21" s="693" t="str">
        <f t="shared" si="4"/>
        <v/>
      </c>
      <c r="U21" s="716" t="str">
        <f t="shared" si="5"/>
        <v/>
      </c>
    </row>
    <row r="22" spans="1:23" ht="12.75" x14ac:dyDescent="0.2">
      <c r="A22" s="482" t="s">
        <v>61</v>
      </c>
      <c r="B22" s="487" t="s">
        <v>62</v>
      </c>
      <c r="C22" s="614" t="s">
        <v>63</v>
      </c>
      <c r="D22" s="7">
        <v>0</v>
      </c>
      <c r="E22" s="32">
        <v>0</v>
      </c>
      <c r="F22" s="14"/>
      <c r="G22" s="27" t="str">
        <f t="shared" si="6"/>
        <v/>
      </c>
      <c r="H22" s="720" t="e">
        <f t="shared" si="1"/>
        <v>#VALUE!</v>
      </c>
      <c r="I22" s="36"/>
      <c r="J22" s="735"/>
      <c r="K22" s="36">
        <f t="shared" si="0"/>
        <v>0</v>
      </c>
      <c r="L22" s="728">
        <f t="shared" si="2"/>
        <v>0</v>
      </c>
      <c r="M22" s="746">
        <f t="shared" si="3"/>
        <v>0</v>
      </c>
      <c r="N22" s="35"/>
      <c r="O22" s="426">
        <v>617</v>
      </c>
      <c r="S22" s="668" t="s">
        <v>64</v>
      </c>
      <c r="T22" s="693" t="str">
        <f t="shared" si="4"/>
        <v/>
      </c>
      <c r="U22" s="716" t="str">
        <f t="shared" si="5"/>
        <v/>
      </c>
    </row>
    <row r="23" spans="1:23" ht="12.75" x14ac:dyDescent="0.2">
      <c r="A23" s="482" t="s">
        <v>65</v>
      </c>
      <c r="B23" s="487" t="s">
        <v>66</v>
      </c>
      <c r="C23" s="615" t="s">
        <v>46</v>
      </c>
      <c r="D23" s="7">
        <v>0</v>
      </c>
      <c r="E23" s="32">
        <v>0</v>
      </c>
      <c r="F23" s="14"/>
      <c r="G23" s="27" t="str">
        <f t="shared" si="6"/>
        <v/>
      </c>
      <c r="H23" s="720" t="e">
        <f t="shared" si="1"/>
        <v>#VALUE!</v>
      </c>
      <c r="I23" s="36"/>
      <c r="J23" s="735"/>
      <c r="K23" s="36">
        <f t="shared" si="0"/>
        <v>0</v>
      </c>
      <c r="L23" s="728">
        <f t="shared" si="2"/>
        <v>0</v>
      </c>
      <c r="M23" s="746">
        <f t="shared" si="3"/>
        <v>0</v>
      </c>
      <c r="N23" s="35"/>
      <c r="O23" s="426">
        <v>4205.3999999999996</v>
      </c>
      <c r="P23" s="1" t="s">
        <v>67</v>
      </c>
      <c r="S23" s="668" t="s">
        <v>68</v>
      </c>
      <c r="T23" s="693" t="str">
        <f t="shared" si="4"/>
        <v/>
      </c>
      <c r="U23" s="716" t="str">
        <f t="shared" si="5"/>
        <v/>
      </c>
    </row>
    <row r="24" spans="1:23" ht="12.75" x14ac:dyDescent="0.2">
      <c r="A24" s="482" t="s">
        <v>69</v>
      </c>
      <c r="B24" s="487" t="s">
        <v>70</v>
      </c>
      <c r="C24" s="614" t="s">
        <v>33</v>
      </c>
      <c r="D24" s="7">
        <v>0</v>
      </c>
      <c r="E24" s="32">
        <v>0</v>
      </c>
      <c r="F24" s="14"/>
      <c r="G24" s="27" t="str">
        <f t="shared" si="6"/>
        <v/>
      </c>
      <c r="H24" s="720" t="e">
        <f t="shared" si="1"/>
        <v>#VALUE!</v>
      </c>
      <c r="I24" s="36"/>
      <c r="J24" s="735"/>
      <c r="K24" s="36">
        <f t="shared" si="0"/>
        <v>0</v>
      </c>
      <c r="L24" s="728">
        <f t="shared" si="2"/>
        <v>0</v>
      </c>
      <c r="M24" s="746">
        <f t="shared" si="3"/>
        <v>0</v>
      </c>
      <c r="N24" s="35"/>
      <c r="O24" s="426">
        <v>301</v>
      </c>
      <c r="S24" s="668" t="s">
        <v>71</v>
      </c>
      <c r="T24" s="693" t="str">
        <f t="shared" si="4"/>
        <v/>
      </c>
      <c r="U24" s="716" t="str">
        <f t="shared" si="5"/>
        <v/>
      </c>
    </row>
    <row r="25" spans="1:23" ht="12.75" x14ac:dyDescent="0.2">
      <c r="A25" s="482" t="s">
        <v>72</v>
      </c>
      <c r="B25" s="487" t="s">
        <v>73</v>
      </c>
      <c r="C25" s="615" t="s">
        <v>46</v>
      </c>
      <c r="D25" s="7">
        <v>0</v>
      </c>
      <c r="E25" s="32">
        <v>0</v>
      </c>
      <c r="F25" s="14"/>
      <c r="G25" s="27" t="str">
        <f t="shared" si="6"/>
        <v/>
      </c>
      <c r="H25" s="720" t="e">
        <f t="shared" si="1"/>
        <v>#VALUE!</v>
      </c>
      <c r="I25" s="36"/>
      <c r="J25" s="735"/>
      <c r="K25" s="36">
        <f t="shared" si="0"/>
        <v>0</v>
      </c>
      <c r="L25" s="728">
        <f t="shared" si="2"/>
        <v>0</v>
      </c>
      <c r="M25" s="746">
        <f t="shared" si="3"/>
        <v>0</v>
      </c>
      <c r="N25" s="35"/>
      <c r="O25" s="426">
        <v>575</v>
      </c>
      <c r="S25" s="668" t="s">
        <v>74</v>
      </c>
      <c r="T25" s="693" t="str">
        <f t="shared" si="4"/>
        <v/>
      </c>
      <c r="U25" s="716" t="str">
        <f t="shared" si="5"/>
        <v/>
      </c>
    </row>
    <row r="26" spans="1:23" ht="12.75" x14ac:dyDescent="0.2">
      <c r="A26" s="482" t="s">
        <v>75</v>
      </c>
      <c r="B26" s="487" t="s">
        <v>76</v>
      </c>
      <c r="C26" s="615" t="s">
        <v>46</v>
      </c>
      <c r="D26" s="7">
        <v>0</v>
      </c>
      <c r="E26" s="32">
        <v>0</v>
      </c>
      <c r="F26" s="14"/>
      <c r="G26" s="27" t="str">
        <f t="shared" si="6"/>
        <v/>
      </c>
      <c r="H26" s="720" t="e">
        <f t="shared" si="1"/>
        <v>#VALUE!</v>
      </c>
      <c r="I26" s="36"/>
      <c r="J26" s="735"/>
      <c r="K26" s="36">
        <f t="shared" si="0"/>
        <v>0</v>
      </c>
      <c r="L26" s="728">
        <f t="shared" si="2"/>
        <v>0</v>
      </c>
      <c r="M26" s="746">
        <f t="shared" si="3"/>
        <v>0</v>
      </c>
      <c r="N26" s="35"/>
      <c r="O26" s="426">
        <v>4149</v>
      </c>
      <c r="S26" s="668" t="s">
        <v>77</v>
      </c>
      <c r="T26" s="693" t="str">
        <f t="shared" si="4"/>
        <v/>
      </c>
      <c r="U26" s="716" t="str">
        <f t="shared" si="5"/>
        <v/>
      </c>
    </row>
    <row r="27" spans="1:23" ht="12.75" x14ac:dyDescent="0.2">
      <c r="A27" s="482" t="s">
        <v>78</v>
      </c>
      <c r="B27" s="487" t="s">
        <v>79</v>
      </c>
      <c r="C27" s="615" t="s">
        <v>46</v>
      </c>
      <c r="D27" s="7">
        <v>0</v>
      </c>
      <c r="E27" s="32">
        <v>0</v>
      </c>
      <c r="F27" s="14"/>
      <c r="G27" s="27" t="str">
        <f t="shared" si="6"/>
        <v/>
      </c>
      <c r="H27" s="720" t="e">
        <f t="shared" si="1"/>
        <v>#VALUE!</v>
      </c>
      <c r="I27" s="36"/>
      <c r="J27" s="735"/>
      <c r="K27" s="36">
        <f t="shared" si="0"/>
        <v>0</v>
      </c>
      <c r="L27" s="728">
        <f t="shared" si="2"/>
        <v>0</v>
      </c>
      <c r="M27" s="746">
        <f t="shared" si="3"/>
        <v>0</v>
      </c>
      <c r="N27" s="35"/>
      <c r="O27" s="426">
        <v>13940</v>
      </c>
      <c r="S27" s="668" t="s">
        <v>80</v>
      </c>
      <c r="T27" s="693" t="str">
        <f t="shared" si="4"/>
        <v/>
      </c>
      <c r="U27" s="716" t="str">
        <f t="shared" si="5"/>
        <v/>
      </c>
    </row>
    <row r="28" spans="1:23" ht="12.75" x14ac:dyDescent="0.2">
      <c r="A28" s="488" t="s">
        <v>81</v>
      </c>
      <c r="B28" s="607" t="s">
        <v>82</v>
      </c>
      <c r="C28" s="616" t="s">
        <v>46</v>
      </c>
      <c r="D28" s="610">
        <v>0</v>
      </c>
      <c r="E28" s="32">
        <v>0</v>
      </c>
      <c r="F28" s="14"/>
      <c r="G28" s="27" t="str">
        <f t="shared" si="6"/>
        <v/>
      </c>
      <c r="H28" s="720" t="e">
        <f t="shared" si="1"/>
        <v>#VALUE!</v>
      </c>
      <c r="I28" s="36"/>
      <c r="J28" s="735"/>
      <c r="K28" s="36">
        <f t="shared" si="0"/>
        <v>0</v>
      </c>
      <c r="L28" s="728">
        <f t="shared" si="2"/>
        <v>0</v>
      </c>
      <c r="M28" s="746">
        <f t="shared" si="3"/>
        <v>0</v>
      </c>
      <c r="N28" s="424"/>
      <c r="O28" s="428">
        <v>19392.89</v>
      </c>
      <c r="P28" s="425"/>
      <c r="S28" s="669" t="s">
        <v>83</v>
      </c>
      <c r="T28" s="693" t="str">
        <f t="shared" si="4"/>
        <v/>
      </c>
      <c r="U28" s="716" t="str">
        <f t="shared" si="5"/>
        <v/>
      </c>
    </row>
    <row r="29" spans="1:23" ht="12.75" x14ac:dyDescent="0.2">
      <c r="A29" s="488" t="s">
        <v>84</v>
      </c>
      <c r="B29" s="607" t="s">
        <v>85</v>
      </c>
      <c r="C29" s="616" t="s">
        <v>46</v>
      </c>
      <c r="D29" s="610">
        <v>0</v>
      </c>
      <c r="E29" s="32">
        <v>0</v>
      </c>
      <c r="F29" s="14"/>
      <c r="G29" s="27" t="str">
        <f t="shared" si="6"/>
        <v/>
      </c>
      <c r="H29" s="720" t="e">
        <f t="shared" si="1"/>
        <v>#VALUE!</v>
      </c>
      <c r="I29" s="36"/>
      <c r="J29" s="735"/>
      <c r="K29" s="36">
        <f t="shared" si="0"/>
        <v>0</v>
      </c>
      <c r="L29" s="728">
        <f t="shared" si="2"/>
        <v>0</v>
      </c>
      <c r="M29" s="746">
        <f t="shared" si="3"/>
        <v>0</v>
      </c>
      <c r="N29" s="424"/>
      <c r="O29" s="428">
        <v>24992.89</v>
      </c>
      <c r="P29" s="425"/>
      <c r="S29" s="669" t="s">
        <v>86</v>
      </c>
      <c r="T29" s="693" t="str">
        <f t="shared" si="4"/>
        <v/>
      </c>
      <c r="U29" s="716" t="str">
        <f t="shared" si="5"/>
        <v/>
      </c>
    </row>
    <row r="30" spans="1:23" ht="12.75" x14ac:dyDescent="0.2">
      <c r="A30" s="488" t="s">
        <v>87</v>
      </c>
      <c r="B30" s="607" t="s">
        <v>88</v>
      </c>
      <c r="C30" s="616" t="s">
        <v>46</v>
      </c>
      <c r="D30" s="610">
        <v>0</v>
      </c>
      <c r="E30" s="32">
        <v>0</v>
      </c>
      <c r="F30" s="14"/>
      <c r="G30" s="27" t="str">
        <f t="shared" si="6"/>
        <v/>
      </c>
      <c r="H30" s="720" t="e">
        <f t="shared" si="1"/>
        <v>#VALUE!</v>
      </c>
      <c r="I30" s="36"/>
      <c r="J30" s="735"/>
      <c r="K30" s="36">
        <f t="shared" si="0"/>
        <v>0</v>
      </c>
      <c r="L30" s="728">
        <f t="shared" si="2"/>
        <v>0</v>
      </c>
      <c r="M30" s="746">
        <f t="shared" si="3"/>
        <v>0</v>
      </c>
      <c r="N30" s="424"/>
      <c r="O30" s="428">
        <v>21395.06</v>
      </c>
      <c r="P30" s="425"/>
      <c r="S30" s="669" t="s">
        <v>89</v>
      </c>
      <c r="T30" s="693" t="str">
        <f t="shared" si="4"/>
        <v/>
      </c>
      <c r="U30" s="716" t="str">
        <f t="shared" si="5"/>
        <v/>
      </c>
    </row>
    <row r="31" spans="1:23" ht="12.75" x14ac:dyDescent="0.2">
      <c r="A31" s="488" t="s">
        <v>90</v>
      </c>
      <c r="B31" s="607" t="s">
        <v>91</v>
      </c>
      <c r="C31" s="616" t="s">
        <v>46</v>
      </c>
      <c r="D31" s="610">
        <v>0</v>
      </c>
      <c r="E31" s="32">
        <v>0</v>
      </c>
      <c r="F31" s="14"/>
      <c r="G31" s="27" t="str">
        <f t="shared" si="6"/>
        <v/>
      </c>
      <c r="H31" s="720" t="e">
        <f t="shared" si="1"/>
        <v>#VALUE!</v>
      </c>
      <c r="I31" s="36"/>
      <c r="J31" s="735"/>
      <c r="K31" s="36">
        <f t="shared" si="0"/>
        <v>0</v>
      </c>
      <c r="L31" s="728">
        <f t="shared" si="2"/>
        <v>0</v>
      </c>
      <c r="M31" s="746">
        <f t="shared" si="3"/>
        <v>0</v>
      </c>
      <c r="N31" s="424"/>
      <c r="O31" s="428">
        <v>26995.06</v>
      </c>
      <c r="P31" s="425"/>
      <c r="S31" s="669" t="s">
        <v>92</v>
      </c>
      <c r="T31" s="693" t="str">
        <f t="shared" si="4"/>
        <v/>
      </c>
      <c r="U31" s="716" t="str">
        <f t="shared" si="5"/>
        <v/>
      </c>
    </row>
    <row r="32" spans="1:23" ht="12.75" x14ac:dyDescent="0.2">
      <c r="A32" s="482" t="s">
        <v>93</v>
      </c>
      <c r="B32" s="487" t="s">
        <v>94</v>
      </c>
      <c r="C32" s="615" t="s">
        <v>95</v>
      </c>
      <c r="D32" s="7">
        <v>0</v>
      </c>
      <c r="E32" s="32">
        <v>0</v>
      </c>
      <c r="F32" s="14"/>
      <c r="G32" s="27" t="str">
        <f t="shared" si="6"/>
        <v/>
      </c>
      <c r="H32" s="720" t="e">
        <f t="shared" si="1"/>
        <v>#VALUE!</v>
      </c>
      <c r="I32" s="36"/>
      <c r="J32" s="735"/>
      <c r="K32" s="36">
        <f t="shared" si="0"/>
        <v>0</v>
      </c>
      <c r="L32" s="728">
        <f t="shared" si="2"/>
        <v>0</v>
      </c>
      <c r="M32" s="746">
        <f t="shared" si="3"/>
        <v>0</v>
      </c>
      <c r="N32" s="35"/>
      <c r="O32" s="426">
        <v>1499</v>
      </c>
      <c r="S32" s="668" t="s">
        <v>96</v>
      </c>
      <c r="T32" s="693" t="str">
        <f t="shared" si="4"/>
        <v/>
      </c>
      <c r="U32" s="716" t="str">
        <f t="shared" si="5"/>
        <v/>
      </c>
    </row>
    <row r="33" spans="1:21" ht="12.75" x14ac:dyDescent="0.2">
      <c r="A33" s="482" t="s">
        <v>97</v>
      </c>
      <c r="B33" s="487" t="s">
        <v>98</v>
      </c>
      <c r="C33" s="615" t="s">
        <v>46</v>
      </c>
      <c r="D33" s="7">
        <v>0</v>
      </c>
      <c r="E33" s="32">
        <v>0</v>
      </c>
      <c r="F33" s="14"/>
      <c r="G33" s="27" t="str">
        <f t="shared" si="6"/>
        <v/>
      </c>
      <c r="H33" s="720" t="e">
        <f t="shared" si="1"/>
        <v>#VALUE!</v>
      </c>
      <c r="I33" s="36"/>
      <c r="J33" s="735"/>
      <c r="K33" s="36">
        <f t="shared" si="0"/>
        <v>0</v>
      </c>
      <c r="L33" s="728">
        <f t="shared" si="2"/>
        <v>0</v>
      </c>
      <c r="M33" s="746">
        <f t="shared" si="3"/>
        <v>0</v>
      </c>
      <c r="N33" s="35"/>
      <c r="O33" s="426">
        <v>422</v>
      </c>
      <c r="S33" s="668" t="s">
        <v>99</v>
      </c>
      <c r="T33" s="693" t="str">
        <f t="shared" si="4"/>
        <v/>
      </c>
      <c r="U33" s="716" t="str">
        <f t="shared" si="5"/>
        <v/>
      </c>
    </row>
    <row r="34" spans="1:21" ht="12.75" x14ac:dyDescent="0.2">
      <c r="A34" s="482" t="s">
        <v>100</v>
      </c>
      <c r="B34" s="487" t="s">
        <v>101</v>
      </c>
      <c r="C34" s="615" t="s">
        <v>102</v>
      </c>
      <c r="D34" s="7">
        <v>0</v>
      </c>
      <c r="E34" s="32">
        <v>0</v>
      </c>
      <c r="F34" s="14"/>
      <c r="G34" s="27" t="str">
        <f t="shared" si="6"/>
        <v/>
      </c>
      <c r="H34" s="720" t="e">
        <f t="shared" si="1"/>
        <v>#VALUE!</v>
      </c>
      <c r="I34" s="36"/>
      <c r="J34" s="735"/>
      <c r="K34" s="36">
        <f t="shared" si="0"/>
        <v>0</v>
      </c>
      <c r="L34" s="728">
        <f t="shared" si="2"/>
        <v>0</v>
      </c>
      <c r="M34" s="746">
        <f t="shared" si="3"/>
        <v>0</v>
      </c>
      <c r="N34" s="35"/>
      <c r="O34" s="426">
        <v>3180.6</v>
      </c>
      <c r="S34" s="668" t="s">
        <v>101</v>
      </c>
      <c r="T34" s="693" t="str">
        <f t="shared" si="4"/>
        <v/>
      </c>
      <c r="U34" s="716" t="str">
        <f t="shared" si="5"/>
        <v/>
      </c>
    </row>
    <row r="35" spans="1:21" ht="12.75" x14ac:dyDescent="0.2">
      <c r="A35" s="482" t="s">
        <v>103</v>
      </c>
      <c r="B35" s="486" t="s">
        <v>104</v>
      </c>
      <c r="C35" s="614" t="s">
        <v>22</v>
      </c>
      <c r="D35" s="7">
        <v>0</v>
      </c>
      <c r="E35" s="32">
        <v>0</v>
      </c>
      <c r="F35" s="14"/>
      <c r="G35" s="27" t="str">
        <f t="shared" si="6"/>
        <v/>
      </c>
      <c r="H35" s="720" t="e">
        <f t="shared" si="1"/>
        <v>#VALUE!</v>
      </c>
      <c r="I35" s="36"/>
      <c r="J35" s="735"/>
      <c r="K35" s="36">
        <f t="shared" si="0"/>
        <v>0</v>
      </c>
      <c r="L35" s="728">
        <f t="shared" si="2"/>
        <v>0</v>
      </c>
      <c r="M35" s="746">
        <f t="shared" si="3"/>
        <v>0</v>
      </c>
      <c r="N35" s="35"/>
      <c r="O35" s="426">
        <v>2.3199999999999998</v>
      </c>
      <c r="S35" s="667" t="s">
        <v>105</v>
      </c>
      <c r="T35" s="693" t="str">
        <f t="shared" si="4"/>
        <v/>
      </c>
      <c r="U35" s="716" t="str">
        <f t="shared" si="5"/>
        <v/>
      </c>
    </row>
    <row r="36" spans="1:21" ht="12.75" x14ac:dyDescent="0.2">
      <c r="A36" s="482" t="s">
        <v>106</v>
      </c>
      <c r="B36" s="486" t="s">
        <v>107</v>
      </c>
      <c r="C36" s="614" t="s">
        <v>22</v>
      </c>
      <c r="D36" s="7">
        <v>0</v>
      </c>
      <c r="E36" s="32">
        <v>0</v>
      </c>
      <c r="F36" s="14"/>
      <c r="G36" s="27" t="str">
        <f t="shared" si="6"/>
        <v/>
      </c>
      <c r="H36" s="720" t="e">
        <f t="shared" si="1"/>
        <v>#VALUE!</v>
      </c>
      <c r="I36" s="36"/>
      <c r="J36" s="735"/>
      <c r="K36" s="36">
        <f t="shared" si="0"/>
        <v>0</v>
      </c>
      <c r="L36" s="728">
        <f t="shared" si="2"/>
        <v>0</v>
      </c>
      <c r="M36" s="746">
        <f t="shared" si="3"/>
        <v>0</v>
      </c>
      <c r="N36" s="35"/>
      <c r="O36" s="429">
        <v>1.73</v>
      </c>
      <c r="S36" s="667" t="s">
        <v>108</v>
      </c>
      <c r="T36" s="693" t="str">
        <f t="shared" si="4"/>
        <v/>
      </c>
      <c r="U36" s="716" t="str">
        <f t="shared" si="5"/>
        <v/>
      </c>
    </row>
    <row r="37" spans="1:21" ht="12.75" x14ac:dyDescent="0.2">
      <c r="A37" s="482" t="s">
        <v>109</v>
      </c>
      <c r="B37" s="486" t="s">
        <v>110</v>
      </c>
      <c r="C37" s="614" t="s">
        <v>22</v>
      </c>
      <c r="D37" s="7">
        <v>0</v>
      </c>
      <c r="E37" s="32">
        <v>0</v>
      </c>
      <c r="F37" s="14"/>
      <c r="G37" s="27" t="str">
        <f t="shared" si="6"/>
        <v/>
      </c>
      <c r="H37" s="720" t="e">
        <f t="shared" si="1"/>
        <v>#VALUE!</v>
      </c>
      <c r="I37" s="36"/>
      <c r="J37" s="735"/>
      <c r="K37" s="36">
        <f t="shared" si="0"/>
        <v>0</v>
      </c>
      <c r="L37" s="728">
        <f t="shared" si="2"/>
        <v>0</v>
      </c>
      <c r="M37" s="746">
        <f t="shared" si="3"/>
        <v>0</v>
      </c>
      <c r="N37" s="35"/>
      <c r="O37" s="429">
        <v>20.61</v>
      </c>
      <c r="S37" s="667" t="s">
        <v>111</v>
      </c>
      <c r="T37" s="693" t="str">
        <f t="shared" si="4"/>
        <v/>
      </c>
      <c r="U37" s="716" t="str">
        <f t="shared" si="5"/>
        <v/>
      </c>
    </row>
    <row r="38" spans="1:21" ht="12.75" x14ac:dyDescent="0.2">
      <c r="A38" s="482" t="s">
        <v>112</v>
      </c>
      <c r="B38" s="486" t="s">
        <v>113</v>
      </c>
      <c r="C38" s="615" t="s">
        <v>46</v>
      </c>
      <c r="D38" s="7">
        <v>0</v>
      </c>
      <c r="E38" s="32">
        <v>0</v>
      </c>
      <c r="F38" s="14"/>
      <c r="G38" s="27" t="str">
        <f t="shared" si="6"/>
        <v/>
      </c>
      <c r="H38" s="720" t="e">
        <f t="shared" si="1"/>
        <v>#VALUE!</v>
      </c>
      <c r="I38" s="36"/>
      <c r="J38" s="735"/>
      <c r="K38" s="36">
        <f t="shared" si="0"/>
        <v>0</v>
      </c>
      <c r="L38" s="728">
        <f t="shared" si="2"/>
        <v>0</v>
      </c>
      <c r="M38" s="746">
        <f t="shared" si="3"/>
        <v>0</v>
      </c>
      <c r="N38" s="35"/>
      <c r="O38" s="429">
        <v>118</v>
      </c>
      <c r="S38" s="667" t="s">
        <v>114</v>
      </c>
      <c r="T38" s="693" t="str">
        <f t="shared" si="4"/>
        <v/>
      </c>
      <c r="U38" s="716" t="str">
        <f t="shared" si="5"/>
        <v/>
      </c>
    </row>
    <row r="39" spans="1:21" ht="12.75" x14ac:dyDescent="0.2">
      <c r="A39" s="482" t="s">
        <v>115</v>
      </c>
      <c r="B39" s="486" t="s">
        <v>116</v>
      </c>
      <c r="C39" s="615" t="s">
        <v>46</v>
      </c>
      <c r="D39" s="7">
        <v>0</v>
      </c>
      <c r="E39" s="32">
        <v>0</v>
      </c>
      <c r="F39" s="14"/>
      <c r="G39" s="27" t="str">
        <f t="shared" si="6"/>
        <v/>
      </c>
      <c r="H39" s="720" t="e">
        <f t="shared" si="1"/>
        <v>#VALUE!</v>
      </c>
      <c r="I39" s="36"/>
      <c r="J39" s="735"/>
      <c r="K39" s="36">
        <f t="shared" si="0"/>
        <v>0</v>
      </c>
      <c r="L39" s="728">
        <f t="shared" si="2"/>
        <v>0</v>
      </c>
      <c r="M39" s="746">
        <f t="shared" si="3"/>
        <v>0</v>
      </c>
      <c r="N39" s="35"/>
      <c r="O39" s="429">
        <v>1782.9</v>
      </c>
      <c r="S39" s="667" t="s">
        <v>117</v>
      </c>
      <c r="T39" s="693" t="str">
        <f t="shared" si="4"/>
        <v/>
      </c>
      <c r="U39" s="716" t="str">
        <f t="shared" si="5"/>
        <v/>
      </c>
    </row>
    <row r="40" spans="1:21" ht="12.75" x14ac:dyDescent="0.2">
      <c r="A40" s="482" t="s">
        <v>118</v>
      </c>
      <c r="B40" s="486" t="s">
        <v>119</v>
      </c>
      <c r="C40" s="614" t="s">
        <v>22</v>
      </c>
      <c r="D40" s="7">
        <v>0</v>
      </c>
      <c r="E40" s="32">
        <v>0</v>
      </c>
      <c r="F40" s="14"/>
      <c r="G40" s="27" t="str">
        <f t="shared" si="6"/>
        <v/>
      </c>
      <c r="H40" s="720" t="e">
        <f t="shared" si="1"/>
        <v>#VALUE!</v>
      </c>
      <c r="I40" s="36"/>
      <c r="J40" s="735"/>
      <c r="K40" s="36">
        <f t="shared" si="0"/>
        <v>0</v>
      </c>
      <c r="L40" s="728">
        <f t="shared" si="2"/>
        <v>0</v>
      </c>
      <c r="M40" s="746">
        <f t="shared" si="3"/>
        <v>0</v>
      </c>
      <c r="N40" s="35"/>
      <c r="O40" s="429">
        <v>30.2</v>
      </c>
      <c r="S40" s="667" t="s">
        <v>120</v>
      </c>
      <c r="T40" s="693" t="str">
        <f t="shared" si="4"/>
        <v/>
      </c>
      <c r="U40" s="716" t="str">
        <f t="shared" si="5"/>
        <v/>
      </c>
    </row>
    <row r="41" spans="1:21" ht="12.75" x14ac:dyDescent="0.2">
      <c r="A41" s="482" t="s">
        <v>121</v>
      </c>
      <c r="B41" s="486" t="s">
        <v>122</v>
      </c>
      <c r="C41" s="614" t="s">
        <v>22</v>
      </c>
      <c r="D41" s="7">
        <v>0</v>
      </c>
      <c r="E41" s="32">
        <v>0</v>
      </c>
      <c r="F41" s="14"/>
      <c r="G41" s="27" t="str">
        <f t="shared" si="6"/>
        <v/>
      </c>
      <c r="H41" s="720" t="e">
        <f t="shared" si="1"/>
        <v>#VALUE!</v>
      </c>
      <c r="I41" s="36"/>
      <c r="J41" s="735"/>
      <c r="K41" s="36">
        <f t="shared" si="0"/>
        <v>0</v>
      </c>
      <c r="L41" s="728">
        <f t="shared" si="2"/>
        <v>0</v>
      </c>
      <c r="M41" s="746">
        <f t="shared" si="3"/>
        <v>0</v>
      </c>
      <c r="N41" s="35"/>
      <c r="O41" s="429">
        <v>33.9</v>
      </c>
      <c r="S41" s="667" t="s">
        <v>123</v>
      </c>
      <c r="T41" s="693" t="str">
        <f t="shared" si="4"/>
        <v/>
      </c>
      <c r="U41" s="716" t="str">
        <f t="shared" si="5"/>
        <v/>
      </c>
    </row>
    <row r="42" spans="1:21" ht="12.75" x14ac:dyDescent="0.2">
      <c r="A42" s="482" t="s">
        <v>124</v>
      </c>
      <c r="B42" s="486" t="s">
        <v>125</v>
      </c>
      <c r="C42" s="614" t="s">
        <v>22</v>
      </c>
      <c r="D42" s="7">
        <v>0</v>
      </c>
      <c r="E42" s="32">
        <v>0</v>
      </c>
      <c r="F42" s="14"/>
      <c r="G42" s="27" t="str">
        <f t="shared" si="6"/>
        <v/>
      </c>
      <c r="H42" s="720" t="e">
        <f t="shared" si="1"/>
        <v>#VALUE!</v>
      </c>
      <c r="I42" s="36"/>
      <c r="J42" s="735"/>
      <c r="K42" s="36">
        <f t="shared" si="0"/>
        <v>0</v>
      </c>
      <c r="L42" s="728">
        <f t="shared" si="2"/>
        <v>0</v>
      </c>
      <c r="M42" s="746">
        <f t="shared" si="3"/>
        <v>0</v>
      </c>
      <c r="N42" s="35"/>
      <c r="O42" s="429">
        <v>37.5</v>
      </c>
      <c r="S42" s="667" t="s">
        <v>126</v>
      </c>
      <c r="T42" s="693" t="str">
        <f t="shared" si="4"/>
        <v/>
      </c>
      <c r="U42" s="716" t="str">
        <f t="shared" si="5"/>
        <v/>
      </c>
    </row>
    <row r="43" spans="1:21" ht="12.75" x14ac:dyDescent="0.2">
      <c r="A43" s="482" t="s">
        <v>127</v>
      </c>
      <c r="B43" s="486" t="s">
        <v>128</v>
      </c>
      <c r="C43" s="614" t="s">
        <v>22</v>
      </c>
      <c r="D43" s="7">
        <v>0</v>
      </c>
      <c r="E43" s="32">
        <v>0</v>
      </c>
      <c r="F43" s="14"/>
      <c r="G43" s="27" t="str">
        <f t="shared" si="6"/>
        <v/>
      </c>
      <c r="H43" s="720" t="e">
        <f t="shared" si="1"/>
        <v>#VALUE!</v>
      </c>
      <c r="I43" s="36"/>
      <c r="J43" s="735"/>
      <c r="K43" s="36">
        <f t="shared" si="0"/>
        <v>0</v>
      </c>
      <c r="L43" s="728">
        <f t="shared" si="2"/>
        <v>0</v>
      </c>
      <c r="M43" s="746">
        <f t="shared" si="3"/>
        <v>0</v>
      </c>
      <c r="N43" s="35"/>
      <c r="O43" s="429">
        <v>44.9</v>
      </c>
      <c r="S43" s="667" t="s">
        <v>129</v>
      </c>
      <c r="T43" s="693" t="str">
        <f t="shared" si="4"/>
        <v/>
      </c>
      <c r="U43" s="716" t="str">
        <f t="shared" si="5"/>
        <v/>
      </c>
    </row>
    <row r="44" spans="1:21" ht="12.75" x14ac:dyDescent="0.2">
      <c r="A44" s="482" t="s">
        <v>130</v>
      </c>
      <c r="B44" s="489" t="s">
        <v>131</v>
      </c>
      <c r="C44" s="612" t="s">
        <v>26</v>
      </c>
      <c r="D44" s="7">
        <v>0</v>
      </c>
      <c r="E44" s="32">
        <v>0</v>
      </c>
      <c r="F44" s="14"/>
      <c r="G44" s="27" t="str">
        <f t="shared" si="6"/>
        <v/>
      </c>
      <c r="H44" s="720" t="e">
        <f t="shared" si="1"/>
        <v>#VALUE!</v>
      </c>
      <c r="I44" s="36"/>
      <c r="J44" s="735"/>
      <c r="K44" s="36">
        <f t="shared" si="0"/>
        <v>0</v>
      </c>
      <c r="L44" s="728">
        <f t="shared" si="2"/>
        <v>0</v>
      </c>
      <c r="M44" s="746">
        <f t="shared" si="3"/>
        <v>0</v>
      </c>
      <c r="N44" s="35"/>
      <c r="O44" s="429">
        <v>640.09</v>
      </c>
      <c r="S44" s="670" t="s">
        <v>131</v>
      </c>
      <c r="T44" s="693" t="str">
        <f t="shared" si="4"/>
        <v/>
      </c>
      <c r="U44" s="716" t="str">
        <f t="shared" si="5"/>
        <v/>
      </c>
    </row>
    <row r="45" spans="1:21" ht="12.75" x14ac:dyDescent="0.2">
      <c r="A45" s="482" t="s">
        <v>132</v>
      </c>
      <c r="B45" s="489" t="s">
        <v>133</v>
      </c>
      <c r="C45" s="612" t="s">
        <v>26</v>
      </c>
      <c r="D45" s="7">
        <v>0</v>
      </c>
      <c r="E45" s="32">
        <v>0</v>
      </c>
      <c r="F45" s="14"/>
      <c r="G45" s="27" t="str">
        <f t="shared" ref="G45:G74" si="7">IF(F45=0,"",F45/D45)</f>
        <v/>
      </c>
      <c r="H45" s="720" t="e">
        <f t="shared" si="1"/>
        <v>#VALUE!</v>
      </c>
      <c r="I45" s="36"/>
      <c r="J45" s="735"/>
      <c r="K45" s="36">
        <f t="shared" si="0"/>
        <v>0</v>
      </c>
      <c r="L45" s="728">
        <f t="shared" si="2"/>
        <v>0</v>
      </c>
      <c r="M45" s="746">
        <f t="shared" si="3"/>
        <v>0</v>
      </c>
      <c r="N45" s="35"/>
      <c r="O45" s="429">
        <v>41.71</v>
      </c>
      <c r="S45" s="670" t="s">
        <v>133</v>
      </c>
      <c r="T45" s="693" t="str">
        <f t="shared" si="4"/>
        <v/>
      </c>
      <c r="U45" s="716" t="str">
        <f t="shared" si="5"/>
        <v/>
      </c>
    </row>
    <row r="46" spans="1:21" ht="12.75" x14ac:dyDescent="0.2">
      <c r="A46" s="482" t="s">
        <v>134</v>
      </c>
      <c r="B46" s="486" t="s">
        <v>135</v>
      </c>
      <c r="C46" s="612" t="s">
        <v>26</v>
      </c>
      <c r="D46" s="7">
        <v>0</v>
      </c>
      <c r="E46" s="32">
        <v>0</v>
      </c>
      <c r="F46" s="14"/>
      <c r="G46" s="27" t="str">
        <f t="shared" si="7"/>
        <v/>
      </c>
      <c r="H46" s="720" t="e">
        <f t="shared" si="1"/>
        <v>#VALUE!</v>
      </c>
      <c r="I46" s="36"/>
      <c r="J46" s="735"/>
      <c r="K46" s="36">
        <f t="shared" si="0"/>
        <v>0</v>
      </c>
      <c r="L46" s="728">
        <f t="shared" si="2"/>
        <v>0</v>
      </c>
      <c r="M46" s="746">
        <f t="shared" si="3"/>
        <v>0</v>
      </c>
      <c r="N46" s="35"/>
      <c r="O46" s="429">
        <v>78.459999999999994</v>
      </c>
      <c r="S46" s="667" t="s">
        <v>135</v>
      </c>
      <c r="T46" s="693" t="str">
        <f t="shared" si="4"/>
        <v/>
      </c>
      <c r="U46" s="716" t="str">
        <f t="shared" si="5"/>
        <v/>
      </c>
    </row>
    <row r="47" spans="1:21" ht="12.75" x14ac:dyDescent="0.2">
      <c r="A47" s="482" t="s">
        <v>136</v>
      </c>
      <c r="B47" s="489" t="s">
        <v>137</v>
      </c>
      <c r="C47" s="615" t="s">
        <v>46</v>
      </c>
      <c r="D47" s="7">
        <v>0</v>
      </c>
      <c r="E47" s="32">
        <v>0</v>
      </c>
      <c r="F47" s="14"/>
      <c r="G47" s="27" t="str">
        <f t="shared" si="7"/>
        <v/>
      </c>
      <c r="H47" s="720" t="e">
        <f t="shared" si="1"/>
        <v>#VALUE!</v>
      </c>
      <c r="I47" s="36"/>
      <c r="J47" s="735"/>
      <c r="K47" s="36">
        <f t="shared" si="0"/>
        <v>0</v>
      </c>
      <c r="L47" s="728">
        <f t="shared" si="2"/>
        <v>0</v>
      </c>
      <c r="M47" s="746">
        <f t="shared" si="3"/>
        <v>0</v>
      </c>
      <c r="N47" s="35"/>
      <c r="O47" s="429">
        <v>2017.3</v>
      </c>
      <c r="S47" s="670" t="s">
        <v>138</v>
      </c>
      <c r="T47" s="693" t="str">
        <f t="shared" si="4"/>
        <v/>
      </c>
      <c r="U47" s="716" t="str">
        <f t="shared" si="5"/>
        <v/>
      </c>
    </row>
    <row r="48" spans="1:21" ht="12.75" x14ac:dyDescent="0.2">
      <c r="A48" s="482" t="s">
        <v>139</v>
      </c>
      <c r="B48" s="489" t="s">
        <v>140</v>
      </c>
      <c r="C48" s="615" t="s">
        <v>46</v>
      </c>
      <c r="D48" s="7">
        <v>0</v>
      </c>
      <c r="E48" s="32">
        <v>0</v>
      </c>
      <c r="F48" s="14"/>
      <c r="G48" s="27" t="str">
        <f t="shared" si="7"/>
        <v/>
      </c>
      <c r="H48" s="720" t="e">
        <f t="shared" si="1"/>
        <v>#VALUE!</v>
      </c>
      <c r="I48" s="36"/>
      <c r="J48" s="735"/>
      <c r="K48" s="36">
        <f t="shared" si="0"/>
        <v>0</v>
      </c>
      <c r="L48" s="728">
        <f t="shared" si="2"/>
        <v>0</v>
      </c>
      <c r="M48" s="746">
        <f t="shared" si="3"/>
        <v>0</v>
      </c>
      <c r="N48" s="35"/>
      <c r="O48" s="429">
        <v>1516</v>
      </c>
      <c r="S48" s="670" t="s">
        <v>141</v>
      </c>
      <c r="T48" s="693" t="str">
        <f t="shared" si="4"/>
        <v/>
      </c>
      <c r="U48" s="716" t="str">
        <f t="shared" si="5"/>
        <v/>
      </c>
    </row>
    <row r="49" spans="1:21" ht="12.75" x14ac:dyDescent="0.2">
      <c r="A49" s="482" t="s">
        <v>142</v>
      </c>
      <c r="B49" s="489" t="s">
        <v>143</v>
      </c>
      <c r="C49" s="614" t="s">
        <v>22</v>
      </c>
      <c r="D49" s="7">
        <v>0</v>
      </c>
      <c r="E49" s="32">
        <v>0</v>
      </c>
      <c r="F49" s="14"/>
      <c r="G49" s="27" t="str">
        <f t="shared" si="7"/>
        <v/>
      </c>
      <c r="H49" s="720" t="e">
        <f t="shared" si="1"/>
        <v>#VALUE!</v>
      </c>
      <c r="I49" s="36"/>
      <c r="J49" s="735"/>
      <c r="K49" s="36">
        <f t="shared" si="0"/>
        <v>0</v>
      </c>
      <c r="L49" s="728">
        <f t="shared" si="2"/>
        <v>0</v>
      </c>
      <c r="M49" s="746">
        <f t="shared" si="3"/>
        <v>0</v>
      </c>
      <c r="N49" s="35"/>
      <c r="O49" s="429">
        <v>122.4</v>
      </c>
      <c r="S49" s="670" t="s">
        <v>143</v>
      </c>
      <c r="T49" s="693" t="str">
        <f t="shared" si="4"/>
        <v/>
      </c>
      <c r="U49" s="716" t="str">
        <f t="shared" si="5"/>
        <v/>
      </c>
    </row>
    <row r="50" spans="1:21" ht="12.75" x14ac:dyDescent="0.2">
      <c r="A50" s="482" t="s">
        <v>144</v>
      </c>
      <c r="B50" s="487" t="s">
        <v>145</v>
      </c>
      <c r="C50" s="615" t="s">
        <v>46</v>
      </c>
      <c r="D50" s="7">
        <v>0</v>
      </c>
      <c r="E50" s="32">
        <v>0</v>
      </c>
      <c r="F50" s="14"/>
      <c r="G50" s="27" t="str">
        <f t="shared" si="7"/>
        <v/>
      </c>
      <c r="H50" s="720" t="e">
        <f t="shared" si="1"/>
        <v>#VALUE!</v>
      </c>
      <c r="I50" s="36"/>
      <c r="J50" s="735"/>
      <c r="K50" s="36">
        <f t="shared" si="0"/>
        <v>0</v>
      </c>
      <c r="L50" s="728">
        <f t="shared" si="2"/>
        <v>0</v>
      </c>
      <c r="M50" s="746">
        <f t="shared" si="3"/>
        <v>0</v>
      </c>
      <c r="N50" s="35"/>
      <c r="O50" s="429">
        <v>594.5</v>
      </c>
      <c r="S50" s="668" t="s">
        <v>145</v>
      </c>
      <c r="T50" s="693" t="str">
        <f t="shared" si="4"/>
        <v/>
      </c>
      <c r="U50" s="716" t="str">
        <f t="shared" si="5"/>
        <v/>
      </c>
    </row>
    <row r="51" spans="1:21" ht="12.75" x14ac:dyDescent="0.2">
      <c r="A51" s="482" t="s">
        <v>146</v>
      </c>
      <c r="B51" s="487" t="s">
        <v>147</v>
      </c>
      <c r="C51" s="615" t="s">
        <v>46</v>
      </c>
      <c r="D51" s="7">
        <v>0</v>
      </c>
      <c r="E51" s="32">
        <v>0</v>
      </c>
      <c r="F51" s="14"/>
      <c r="G51" s="27" t="str">
        <f t="shared" si="7"/>
        <v/>
      </c>
      <c r="H51" s="720" t="e">
        <f t="shared" si="1"/>
        <v>#VALUE!</v>
      </c>
      <c r="I51" s="36"/>
      <c r="J51" s="735"/>
      <c r="K51" s="36">
        <f t="shared" si="0"/>
        <v>0</v>
      </c>
      <c r="L51" s="728">
        <f t="shared" si="2"/>
        <v>0</v>
      </c>
      <c r="M51" s="746">
        <f t="shared" si="3"/>
        <v>0</v>
      </c>
      <c r="N51" s="35"/>
      <c r="O51" s="429">
        <v>156.47999999999999</v>
      </c>
      <c r="S51" s="668" t="s">
        <v>147</v>
      </c>
      <c r="T51" s="693" t="str">
        <f t="shared" si="4"/>
        <v/>
      </c>
      <c r="U51" s="716" t="str">
        <f t="shared" si="5"/>
        <v/>
      </c>
    </row>
    <row r="52" spans="1:21" ht="12.75" x14ac:dyDescent="0.2">
      <c r="A52" s="482" t="s">
        <v>148</v>
      </c>
      <c r="B52" s="489" t="s">
        <v>149</v>
      </c>
      <c r="C52" s="615" t="s">
        <v>46</v>
      </c>
      <c r="D52" s="643">
        <v>0</v>
      </c>
      <c r="E52" s="642">
        <v>0</v>
      </c>
      <c r="F52" s="14"/>
      <c r="G52" s="27" t="str">
        <f t="shared" si="7"/>
        <v/>
      </c>
      <c r="H52" s="720" t="e">
        <f t="shared" si="1"/>
        <v>#VALUE!</v>
      </c>
      <c r="I52" s="36"/>
      <c r="J52" s="735"/>
      <c r="K52" s="36">
        <f t="shared" si="0"/>
        <v>0</v>
      </c>
      <c r="L52" s="728">
        <f t="shared" si="2"/>
        <v>0</v>
      </c>
      <c r="M52" s="746">
        <f t="shared" si="3"/>
        <v>0</v>
      </c>
      <c r="N52" s="35"/>
      <c r="O52" s="429">
        <v>1782.9</v>
      </c>
      <c r="S52" s="670" t="s">
        <v>149</v>
      </c>
      <c r="T52" s="693" t="str">
        <f t="shared" si="4"/>
        <v/>
      </c>
      <c r="U52" s="716" t="str">
        <f t="shared" si="5"/>
        <v/>
      </c>
    </row>
    <row r="53" spans="1:21" ht="12.75" x14ac:dyDescent="0.2">
      <c r="A53" s="482" t="s">
        <v>150</v>
      </c>
      <c r="B53" s="753" t="s">
        <v>151</v>
      </c>
      <c r="C53" s="614" t="s">
        <v>22</v>
      </c>
      <c r="D53" s="643">
        <v>0</v>
      </c>
      <c r="E53" s="642">
        <v>0</v>
      </c>
      <c r="F53" s="14"/>
      <c r="G53" s="27" t="str">
        <f t="shared" si="7"/>
        <v/>
      </c>
      <c r="H53" s="720" t="e">
        <f t="shared" si="1"/>
        <v>#VALUE!</v>
      </c>
      <c r="I53" s="36"/>
      <c r="J53" s="735"/>
      <c r="K53" s="36">
        <f t="shared" si="0"/>
        <v>0</v>
      </c>
      <c r="L53" s="728">
        <f t="shared" si="2"/>
        <v>0</v>
      </c>
      <c r="M53" s="746">
        <f t="shared" si="3"/>
        <v>0</v>
      </c>
      <c r="N53" s="35"/>
      <c r="O53" s="429">
        <v>454.82</v>
      </c>
      <c r="S53" s="671" t="s">
        <v>152</v>
      </c>
      <c r="T53" s="693" t="str">
        <f t="shared" si="4"/>
        <v/>
      </c>
      <c r="U53" s="716" t="str">
        <f t="shared" si="5"/>
        <v/>
      </c>
    </row>
    <row r="54" spans="1:21" ht="12.75" x14ac:dyDescent="0.2">
      <c r="A54" s="482" t="s">
        <v>153</v>
      </c>
      <c r="B54" s="753"/>
      <c r="C54" s="617" t="s">
        <v>46</v>
      </c>
      <c r="D54" s="643">
        <v>0</v>
      </c>
      <c r="E54" s="642">
        <v>0</v>
      </c>
      <c r="F54" s="14"/>
      <c r="G54" s="27" t="str">
        <f t="shared" si="7"/>
        <v/>
      </c>
      <c r="H54" s="720" t="e">
        <f t="shared" si="1"/>
        <v>#VALUE!</v>
      </c>
      <c r="I54" s="36"/>
      <c r="J54" s="735"/>
      <c r="K54" s="36">
        <f t="shared" si="0"/>
        <v>0</v>
      </c>
      <c r="L54" s="728">
        <f t="shared" si="2"/>
        <v>0</v>
      </c>
      <c r="M54" s="746">
        <f t="shared" si="3"/>
        <v>0</v>
      </c>
      <c r="N54" s="35"/>
      <c r="O54" s="429">
        <v>9551.2999999999993</v>
      </c>
      <c r="S54" s="671" t="s">
        <v>154</v>
      </c>
      <c r="T54" s="693" t="str">
        <f t="shared" si="4"/>
        <v/>
      </c>
      <c r="U54" s="716" t="str">
        <f t="shared" si="5"/>
        <v/>
      </c>
    </row>
    <row r="55" spans="1:21" ht="12.75" x14ac:dyDescent="0.2">
      <c r="A55" s="482" t="s">
        <v>155</v>
      </c>
      <c r="B55" s="489" t="s">
        <v>156</v>
      </c>
      <c r="C55" s="617" t="s">
        <v>46</v>
      </c>
      <c r="D55" s="643">
        <v>0</v>
      </c>
      <c r="E55" s="642">
        <v>0</v>
      </c>
      <c r="F55" s="14"/>
      <c r="G55" s="27" t="str">
        <f t="shared" si="7"/>
        <v/>
      </c>
      <c r="H55" s="720" t="e">
        <f t="shared" si="1"/>
        <v>#VALUE!</v>
      </c>
      <c r="I55" s="36"/>
      <c r="J55" s="735"/>
      <c r="K55" s="36">
        <f t="shared" si="0"/>
        <v>0</v>
      </c>
      <c r="L55" s="728">
        <f t="shared" si="2"/>
        <v>0</v>
      </c>
      <c r="M55" s="746">
        <f t="shared" si="3"/>
        <v>0</v>
      </c>
      <c r="N55" s="35"/>
      <c r="O55" s="429">
        <v>596.70000000000005</v>
      </c>
      <c r="S55" s="670" t="s">
        <v>157</v>
      </c>
      <c r="T55" s="693" t="str">
        <f t="shared" si="4"/>
        <v/>
      </c>
      <c r="U55" s="716" t="str">
        <f t="shared" si="5"/>
        <v/>
      </c>
    </row>
    <row r="56" spans="1:21" ht="12.75" x14ac:dyDescent="0.2">
      <c r="A56" s="482" t="s">
        <v>158</v>
      </c>
      <c r="B56" s="487" t="s">
        <v>159</v>
      </c>
      <c r="C56" s="617" t="s">
        <v>46</v>
      </c>
      <c r="D56" s="7">
        <v>0</v>
      </c>
      <c r="E56" s="32">
        <v>0</v>
      </c>
      <c r="F56" s="14"/>
      <c r="G56" s="27" t="str">
        <f t="shared" si="7"/>
        <v/>
      </c>
      <c r="H56" s="720" t="e">
        <f t="shared" si="1"/>
        <v>#VALUE!</v>
      </c>
      <c r="I56" s="36"/>
      <c r="J56" s="735"/>
      <c r="K56" s="36">
        <f t="shared" si="0"/>
        <v>0</v>
      </c>
      <c r="L56" s="728">
        <f t="shared" si="2"/>
        <v>0</v>
      </c>
      <c r="M56" s="746">
        <f t="shared" si="3"/>
        <v>0</v>
      </c>
      <c r="N56" s="35"/>
      <c r="O56" s="429">
        <v>2406.33</v>
      </c>
      <c r="S56" s="668" t="s">
        <v>160</v>
      </c>
      <c r="T56" s="693" t="str">
        <f t="shared" si="4"/>
        <v/>
      </c>
      <c r="U56" s="716" t="str">
        <f t="shared" si="5"/>
        <v/>
      </c>
    </row>
    <row r="57" spans="1:21" ht="13.5" thickBot="1" x14ac:dyDescent="0.25">
      <c r="A57" s="490" t="s">
        <v>161</v>
      </c>
      <c r="B57" s="487" t="s">
        <v>162</v>
      </c>
      <c r="C57" s="615" t="s">
        <v>163</v>
      </c>
      <c r="D57" s="454">
        <v>0</v>
      </c>
      <c r="E57" s="455">
        <v>0</v>
      </c>
      <c r="F57" s="14"/>
      <c r="G57" s="27" t="str">
        <f t="shared" si="7"/>
        <v/>
      </c>
      <c r="H57" s="720" t="e">
        <f t="shared" si="1"/>
        <v>#VALUE!</v>
      </c>
      <c r="I57" s="36"/>
      <c r="J57" s="735"/>
      <c r="K57" s="36">
        <f t="shared" si="0"/>
        <v>0</v>
      </c>
      <c r="L57" s="728">
        <f t="shared" si="2"/>
        <v>0</v>
      </c>
      <c r="M57" s="746">
        <f t="shared" si="3"/>
        <v>0</v>
      </c>
      <c r="N57" s="35"/>
      <c r="O57" s="429">
        <v>2441</v>
      </c>
      <c r="S57" s="668" t="s">
        <v>162</v>
      </c>
      <c r="T57" s="693" t="str">
        <f t="shared" si="4"/>
        <v/>
      </c>
      <c r="U57" s="716" t="str">
        <f t="shared" si="5"/>
        <v/>
      </c>
    </row>
    <row r="58" spans="1:21" ht="12.75" x14ac:dyDescent="0.2">
      <c r="A58" s="522" t="s">
        <v>164</v>
      </c>
      <c r="B58" s="523" t="s">
        <v>165</v>
      </c>
      <c r="C58" s="618"/>
      <c r="D58" s="545">
        <v>0</v>
      </c>
      <c r="E58" s="524">
        <v>0</v>
      </c>
      <c r="F58" s="452"/>
      <c r="G58" s="446" t="str">
        <f t="shared" si="7"/>
        <v/>
      </c>
      <c r="H58" s="748"/>
      <c r="I58" s="447"/>
      <c r="J58" s="737"/>
      <c r="K58" s="749"/>
      <c r="L58" s="730"/>
      <c r="M58" s="750">
        <f>MIN((L59*O59)+(L60*O60),E58)</f>
        <v>0</v>
      </c>
      <c r="N58" s="35"/>
      <c r="O58" s="427"/>
      <c r="S58" s="672" t="s">
        <v>166</v>
      </c>
      <c r="T58" s="693" t="str">
        <f t="shared" si="4"/>
        <v/>
      </c>
      <c r="U58" s="716" t="str">
        <f t="shared" si="5"/>
        <v/>
      </c>
    </row>
    <row r="59" spans="1:21" ht="12.75" x14ac:dyDescent="0.2">
      <c r="A59" s="525" t="s">
        <v>164</v>
      </c>
      <c r="B59" s="494" t="s">
        <v>167</v>
      </c>
      <c r="C59" s="617" t="s">
        <v>46</v>
      </c>
      <c r="D59" s="7">
        <v>0</v>
      </c>
      <c r="E59" s="546"/>
      <c r="F59" s="453"/>
      <c r="G59" s="27" t="str">
        <f t="shared" si="7"/>
        <v/>
      </c>
      <c r="H59" s="720" t="e">
        <f t="shared" si="1"/>
        <v>#VALUE!</v>
      </c>
      <c r="I59" s="36"/>
      <c r="J59" s="735"/>
      <c r="K59" s="36">
        <f t="shared" si="0"/>
        <v>0</v>
      </c>
      <c r="L59" s="728">
        <f t="shared" si="2"/>
        <v>0</v>
      </c>
      <c r="M59" s="747"/>
      <c r="N59" s="35"/>
      <c r="O59" s="429">
        <v>4387.12</v>
      </c>
      <c r="S59" s="673"/>
      <c r="T59" s="693" t="str">
        <f t="shared" si="4"/>
        <v/>
      </c>
      <c r="U59" s="716" t="str">
        <f t="shared" si="5"/>
        <v/>
      </c>
    </row>
    <row r="60" spans="1:21" ht="13.5" thickBot="1" x14ac:dyDescent="0.25">
      <c r="A60" s="526" t="s">
        <v>164</v>
      </c>
      <c r="B60" s="527" t="s">
        <v>168</v>
      </c>
      <c r="C60" s="619" t="s">
        <v>169</v>
      </c>
      <c r="D60" s="528">
        <v>0</v>
      </c>
      <c r="E60" s="549"/>
      <c r="F60" s="453"/>
      <c r="G60" s="27" t="str">
        <f t="shared" si="7"/>
        <v/>
      </c>
      <c r="H60" s="720" t="e">
        <f t="shared" si="1"/>
        <v>#VALUE!</v>
      </c>
      <c r="I60" s="36"/>
      <c r="J60" s="735"/>
      <c r="K60" s="36">
        <f t="shared" si="0"/>
        <v>0</v>
      </c>
      <c r="L60" s="728">
        <f t="shared" si="2"/>
        <v>0</v>
      </c>
      <c r="M60" s="747"/>
      <c r="N60" s="35"/>
      <c r="O60" s="429">
        <v>58.49</v>
      </c>
      <c r="S60" s="673"/>
      <c r="T60" s="693" t="str">
        <f t="shared" si="4"/>
        <v/>
      </c>
      <c r="U60" s="716" t="str">
        <f t="shared" si="5"/>
        <v/>
      </c>
    </row>
    <row r="61" spans="1:21" ht="12.75" x14ac:dyDescent="0.2">
      <c r="A61" s="529" t="s">
        <v>170</v>
      </c>
      <c r="B61" s="494" t="s">
        <v>171</v>
      </c>
      <c r="C61" s="615"/>
      <c r="D61" s="536">
        <v>0</v>
      </c>
      <c r="E61" s="530">
        <v>0</v>
      </c>
      <c r="F61" s="452"/>
      <c r="G61" s="446" t="str">
        <f t="shared" si="7"/>
        <v/>
      </c>
      <c r="H61" s="748"/>
      <c r="I61" s="447"/>
      <c r="J61" s="737"/>
      <c r="K61" s="749"/>
      <c r="L61" s="730"/>
      <c r="M61" s="750">
        <f>MIN((L62*O62)+(L63*O63),E61)</f>
        <v>0</v>
      </c>
      <c r="N61" s="35"/>
      <c r="O61" s="429"/>
      <c r="S61" s="672" t="s">
        <v>172</v>
      </c>
      <c r="T61" s="693" t="str">
        <f t="shared" si="4"/>
        <v/>
      </c>
      <c r="U61" s="716" t="str">
        <f t="shared" si="5"/>
        <v/>
      </c>
    </row>
    <row r="62" spans="1:21" ht="12.75" x14ac:dyDescent="0.2">
      <c r="A62" s="525" t="s">
        <v>170</v>
      </c>
      <c r="B62" s="494" t="s">
        <v>173</v>
      </c>
      <c r="C62" s="617" t="s">
        <v>46</v>
      </c>
      <c r="D62" s="7">
        <v>0</v>
      </c>
      <c r="E62" s="546"/>
      <c r="F62" s="453"/>
      <c r="G62" s="27" t="str">
        <f t="shared" si="7"/>
        <v/>
      </c>
      <c r="H62" s="720" t="e">
        <f t="shared" si="1"/>
        <v>#VALUE!</v>
      </c>
      <c r="I62" s="36"/>
      <c r="J62" s="735"/>
      <c r="K62" s="36">
        <f t="shared" si="0"/>
        <v>0</v>
      </c>
      <c r="L62" s="728">
        <f t="shared" si="2"/>
        <v>0</v>
      </c>
      <c r="M62" s="747"/>
      <c r="N62" s="35"/>
      <c r="O62" s="430">
        <v>28679.599999999999</v>
      </c>
      <c r="S62" s="673"/>
      <c r="T62" s="693" t="str">
        <f t="shared" si="4"/>
        <v/>
      </c>
      <c r="U62" s="716" t="str">
        <f t="shared" si="5"/>
        <v/>
      </c>
    </row>
    <row r="63" spans="1:21" ht="13.5" thickBot="1" x14ac:dyDescent="0.25">
      <c r="A63" s="526" t="s">
        <v>170</v>
      </c>
      <c r="B63" s="527" t="s">
        <v>174</v>
      </c>
      <c r="C63" s="619" t="s">
        <v>169</v>
      </c>
      <c r="D63" s="528">
        <v>0</v>
      </c>
      <c r="E63" s="549"/>
      <c r="F63" s="453"/>
      <c r="G63" s="27" t="str">
        <f t="shared" si="7"/>
        <v/>
      </c>
      <c r="H63" s="720" t="e">
        <f t="shared" si="1"/>
        <v>#VALUE!</v>
      </c>
      <c r="I63" s="36"/>
      <c r="J63" s="735"/>
      <c r="K63" s="36">
        <f t="shared" si="0"/>
        <v>0</v>
      </c>
      <c r="L63" s="728">
        <f t="shared" si="2"/>
        <v>0</v>
      </c>
      <c r="M63" s="747"/>
      <c r="N63" s="35"/>
      <c r="O63" s="430">
        <v>39.56</v>
      </c>
      <c r="S63" s="674"/>
      <c r="T63" s="693" t="str">
        <f t="shared" si="4"/>
        <v/>
      </c>
      <c r="U63" s="716" t="str">
        <f t="shared" si="5"/>
        <v/>
      </c>
    </row>
    <row r="64" spans="1:21" ht="12.75" x14ac:dyDescent="0.2">
      <c r="A64" s="482" t="s">
        <v>175</v>
      </c>
      <c r="B64" s="489" t="s">
        <v>176</v>
      </c>
      <c r="C64" s="612" t="s">
        <v>26</v>
      </c>
      <c r="D64" s="7">
        <v>0</v>
      </c>
      <c r="E64" s="32">
        <v>0</v>
      </c>
      <c r="F64" s="14"/>
      <c r="G64" s="27" t="str">
        <f t="shared" si="7"/>
        <v/>
      </c>
      <c r="H64" s="720" t="e">
        <f t="shared" si="1"/>
        <v>#VALUE!</v>
      </c>
      <c r="I64" s="36"/>
      <c r="J64" s="735"/>
      <c r="K64" s="36">
        <f t="shared" si="0"/>
        <v>0</v>
      </c>
      <c r="L64" s="728">
        <f t="shared" ref="L64:L75" si="8">MIN(D64,F64,I64)</f>
        <v>0</v>
      </c>
      <c r="M64" s="746">
        <f t="shared" ref="M64:M75" si="9">MIN(L64*O64,E64)</f>
        <v>0</v>
      </c>
      <c r="N64" s="35"/>
      <c r="O64" s="432">
        <v>14.4</v>
      </c>
      <c r="S64" s="670" t="s">
        <v>177</v>
      </c>
      <c r="T64" s="693" t="str">
        <f t="shared" si="4"/>
        <v/>
      </c>
      <c r="U64" s="716" t="str">
        <f t="shared" si="5"/>
        <v/>
      </c>
    </row>
    <row r="65" spans="1:21" ht="12.75" x14ac:dyDescent="0.2">
      <c r="A65" s="482" t="s">
        <v>178</v>
      </c>
      <c r="B65" s="487" t="s">
        <v>179</v>
      </c>
      <c r="C65" s="615" t="s">
        <v>180</v>
      </c>
      <c r="D65" s="7">
        <v>0</v>
      </c>
      <c r="E65" s="32">
        <v>0</v>
      </c>
      <c r="F65" s="14"/>
      <c r="G65" s="27" t="str">
        <f>IF(F65=0,"",F65/D65)</f>
        <v/>
      </c>
      <c r="H65" s="720" t="e">
        <f t="shared" si="1"/>
        <v>#VALUE!</v>
      </c>
      <c r="I65" s="36"/>
      <c r="J65" s="735"/>
      <c r="K65" s="36">
        <f t="shared" si="0"/>
        <v>0</v>
      </c>
      <c r="L65" s="728">
        <f t="shared" si="8"/>
        <v>0</v>
      </c>
      <c r="M65" s="746">
        <f t="shared" si="9"/>
        <v>0</v>
      </c>
      <c r="N65" s="35"/>
      <c r="O65" s="432">
        <v>574.32000000000005</v>
      </c>
      <c r="S65" s="668" t="s">
        <v>181</v>
      </c>
      <c r="T65" s="693" t="str">
        <f t="shared" si="4"/>
        <v/>
      </c>
      <c r="U65" s="716" t="str">
        <f t="shared" si="5"/>
        <v/>
      </c>
    </row>
    <row r="66" spans="1:21" ht="12.75" x14ac:dyDescent="0.2">
      <c r="A66" s="482" t="s">
        <v>182</v>
      </c>
      <c r="B66" s="487" t="s">
        <v>183</v>
      </c>
      <c r="C66" s="615" t="s">
        <v>180</v>
      </c>
      <c r="D66" s="7">
        <v>0</v>
      </c>
      <c r="E66" s="32">
        <v>0</v>
      </c>
      <c r="F66" s="14"/>
      <c r="G66" s="27" t="str">
        <f t="shared" si="7"/>
        <v/>
      </c>
      <c r="H66" s="720" t="e">
        <f t="shared" si="1"/>
        <v>#VALUE!</v>
      </c>
      <c r="I66" s="36"/>
      <c r="J66" s="735"/>
      <c r="K66" s="36">
        <f t="shared" si="0"/>
        <v>0</v>
      </c>
      <c r="L66" s="728">
        <f t="shared" si="8"/>
        <v>0</v>
      </c>
      <c r="M66" s="746">
        <f t="shared" si="9"/>
        <v>0</v>
      </c>
      <c r="N66" s="35"/>
      <c r="O66" s="432">
        <v>359.25</v>
      </c>
      <c r="S66" s="668" t="s">
        <v>184</v>
      </c>
      <c r="T66" s="693" t="str">
        <f t="shared" si="4"/>
        <v/>
      </c>
      <c r="U66" s="716" t="str">
        <f t="shared" si="5"/>
        <v/>
      </c>
    </row>
    <row r="67" spans="1:21" ht="12.75" x14ac:dyDescent="0.2">
      <c r="A67" s="482" t="s">
        <v>185</v>
      </c>
      <c r="B67" s="487" t="s">
        <v>186</v>
      </c>
      <c r="C67" s="615" t="s">
        <v>180</v>
      </c>
      <c r="D67" s="7">
        <v>0</v>
      </c>
      <c r="E67" s="32">
        <v>0</v>
      </c>
      <c r="F67" s="14"/>
      <c r="G67" s="27" t="str">
        <f t="shared" si="7"/>
        <v/>
      </c>
      <c r="H67" s="720" t="e">
        <f t="shared" si="1"/>
        <v>#VALUE!</v>
      </c>
      <c r="I67" s="36"/>
      <c r="J67" s="735"/>
      <c r="K67" s="36">
        <f t="shared" si="0"/>
        <v>0</v>
      </c>
      <c r="L67" s="728">
        <f t="shared" si="8"/>
        <v>0</v>
      </c>
      <c r="M67" s="746">
        <f t="shared" si="9"/>
        <v>0</v>
      </c>
      <c r="N67" s="35"/>
      <c r="O67" s="432">
        <v>293.27</v>
      </c>
      <c r="S67" s="668" t="s">
        <v>187</v>
      </c>
      <c r="T67" s="693" t="str">
        <f t="shared" si="4"/>
        <v/>
      </c>
      <c r="U67" s="716" t="str">
        <f t="shared" si="5"/>
        <v/>
      </c>
    </row>
    <row r="68" spans="1:21" ht="12.75" x14ac:dyDescent="0.2">
      <c r="A68" s="482" t="s">
        <v>188</v>
      </c>
      <c r="B68" s="487" t="s">
        <v>189</v>
      </c>
      <c r="C68" s="615" t="s">
        <v>180</v>
      </c>
      <c r="D68" s="7">
        <v>0</v>
      </c>
      <c r="E68" s="32">
        <v>0</v>
      </c>
      <c r="F68" s="14"/>
      <c r="G68" s="27" t="str">
        <f t="shared" si="7"/>
        <v/>
      </c>
      <c r="H68" s="720" t="e">
        <f t="shared" si="1"/>
        <v>#VALUE!</v>
      </c>
      <c r="I68" s="36"/>
      <c r="J68" s="735"/>
      <c r="K68" s="36">
        <f t="shared" si="0"/>
        <v>0</v>
      </c>
      <c r="L68" s="728">
        <f t="shared" si="8"/>
        <v>0</v>
      </c>
      <c r="M68" s="746">
        <f t="shared" si="9"/>
        <v>0</v>
      </c>
      <c r="N68" s="35"/>
      <c r="O68" s="432">
        <v>260.07</v>
      </c>
      <c r="S68" s="668" t="s">
        <v>190</v>
      </c>
      <c r="T68" s="693" t="str">
        <f t="shared" si="4"/>
        <v/>
      </c>
      <c r="U68" s="716" t="str">
        <f t="shared" si="5"/>
        <v/>
      </c>
    </row>
    <row r="69" spans="1:21" ht="12.75" x14ac:dyDescent="0.2">
      <c r="A69" s="482" t="s">
        <v>191</v>
      </c>
      <c r="B69" s="487" t="s">
        <v>192</v>
      </c>
      <c r="C69" s="615" t="s">
        <v>193</v>
      </c>
      <c r="D69" s="7">
        <v>0</v>
      </c>
      <c r="E69" s="32">
        <v>0</v>
      </c>
      <c r="F69" s="14"/>
      <c r="G69" s="27" t="str">
        <f t="shared" si="7"/>
        <v/>
      </c>
      <c r="H69" s="720" t="e">
        <f t="shared" si="1"/>
        <v>#VALUE!</v>
      </c>
      <c r="I69" s="36"/>
      <c r="J69" s="735"/>
      <c r="K69" s="36">
        <f t="shared" si="0"/>
        <v>0</v>
      </c>
      <c r="L69" s="728">
        <f t="shared" si="8"/>
        <v>0</v>
      </c>
      <c r="M69" s="746">
        <f t="shared" si="9"/>
        <v>0</v>
      </c>
      <c r="N69" s="35"/>
      <c r="O69" s="432">
        <v>5491</v>
      </c>
      <c r="S69" s="668" t="s">
        <v>194</v>
      </c>
      <c r="T69" s="693" t="str">
        <f t="shared" si="4"/>
        <v/>
      </c>
      <c r="U69" s="716" t="str">
        <f t="shared" si="5"/>
        <v/>
      </c>
    </row>
    <row r="70" spans="1:21" ht="12.75" x14ac:dyDescent="0.2">
      <c r="A70" s="482" t="s">
        <v>195</v>
      </c>
      <c r="B70" s="487" t="s">
        <v>196</v>
      </c>
      <c r="C70" s="615" t="s">
        <v>193</v>
      </c>
      <c r="D70" s="7">
        <v>0</v>
      </c>
      <c r="E70" s="32">
        <v>0</v>
      </c>
      <c r="F70" s="14"/>
      <c r="G70" s="27" t="str">
        <f t="shared" si="7"/>
        <v/>
      </c>
      <c r="H70" s="720" t="e">
        <f t="shared" si="1"/>
        <v>#VALUE!</v>
      </c>
      <c r="I70" s="36"/>
      <c r="J70" s="735"/>
      <c r="K70" s="36">
        <f t="shared" si="0"/>
        <v>0</v>
      </c>
      <c r="L70" s="728">
        <f t="shared" si="8"/>
        <v>0</v>
      </c>
      <c r="M70" s="746">
        <f t="shared" si="9"/>
        <v>0</v>
      </c>
      <c r="N70" s="35"/>
      <c r="O70" s="432">
        <v>2266</v>
      </c>
      <c r="S70" s="668" t="s">
        <v>197</v>
      </c>
      <c r="T70" s="693" t="str">
        <f t="shared" si="4"/>
        <v/>
      </c>
      <c r="U70" s="716" t="str">
        <f t="shared" si="5"/>
        <v/>
      </c>
    </row>
    <row r="71" spans="1:21" ht="12.75" x14ac:dyDescent="0.2">
      <c r="A71" s="482" t="s">
        <v>198</v>
      </c>
      <c r="B71" s="487" t="s">
        <v>199</v>
      </c>
      <c r="C71" s="612" t="s">
        <v>26</v>
      </c>
      <c r="D71" s="7">
        <v>0</v>
      </c>
      <c r="E71" s="32">
        <v>0</v>
      </c>
      <c r="F71" s="14"/>
      <c r="G71" s="27" t="str">
        <f t="shared" si="7"/>
        <v/>
      </c>
      <c r="H71" s="720" t="e">
        <f t="shared" si="1"/>
        <v>#VALUE!</v>
      </c>
      <c r="I71" s="36"/>
      <c r="J71" s="735"/>
      <c r="K71" s="36">
        <f t="shared" si="0"/>
        <v>0</v>
      </c>
      <c r="L71" s="728">
        <f t="shared" si="8"/>
        <v>0</v>
      </c>
      <c r="M71" s="746">
        <f t="shared" si="9"/>
        <v>0</v>
      </c>
      <c r="N71" s="35"/>
      <c r="O71" s="432">
        <v>264.83</v>
      </c>
      <c r="S71" s="668" t="s">
        <v>200</v>
      </c>
      <c r="T71" s="693" t="str">
        <f t="shared" si="4"/>
        <v/>
      </c>
      <c r="U71" s="716" t="str">
        <f t="shared" si="5"/>
        <v/>
      </c>
    </row>
    <row r="72" spans="1:21" ht="12.75" x14ac:dyDescent="0.2">
      <c r="A72" s="482" t="s">
        <v>201</v>
      </c>
      <c r="B72" s="487" t="s">
        <v>202</v>
      </c>
      <c r="C72" s="612" t="s">
        <v>26</v>
      </c>
      <c r="D72" s="7">
        <v>0</v>
      </c>
      <c r="E72" s="32">
        <v>0</v>
      </c>
      <c r="F72" s="14"/>
      <c r="G72" s="27" t="str">
        <f t="shared" si="7"/>
        <v/>
      </c>
      <c r="H72" s="720" t="e">
        <f t="shared" si="1"/>
        <v>#VALUE!</v>
      </c>
      <c r="I72" s="36"/>
      <c r="J72" s="735"/>
      <c r="K72" s="36">
        <f t="shared" si="0"/>
        <v>0</v>
      </c>
      <c r="L72" s="728">
        <f t="shared" si="8"/>
        <v>0</v>
      </c>
      <c r="M72" s="746">
        <f t="shared" si="9"/>
        <v>0</v>
      </c>
      <c r="N72" s="35"/>
      <c r="O72" s="431">
        <v>173.5</v>
      </c>
      <c r="S72" s="668" t="s">
        <v>203</v>
      </c>
      <c r="T72" s="693" t="str">
        <f t="shared" si="4"/>
        <v/>
      </c>
      <c r="U72" s="716" t="str">
        <f t="shared" si="5"/>
        <v/>
      </c>
    </row>
    <row r="73" spans="1:21" ht="12.75" x14ac:dyDescent="0.2">
      <c r="A73" s="482" t="s">
        <v>204</v>
      </c>
      <c r="B73" s="487" t="s">
        <v>205</v>
      </c>
      <c r="C73" s="615" t="s">
        <v>193</v>
      </c>
      <c r="D73" s="7">
        <v>0</v>
      </c>
      <c r="E73" s="32">
        <v>0</v>
      </c>
      <c r="F73" s="14"/>
      <c r="G73" s="27" t="str">
        <f t="shared" si="7"/>
        <v/>
      </c>
      <c r="H73" s="720" t="e">
        <f t="shared" si="1"/>
        <v>#VALUE!</v>
      </c>
      <c r="I73" s="36"/>
      <c r="J73" s="735"/>
      <c r="K73" s="36">
        <f t="shared" si="0"/>
        <v>0</v>
      </c>
      <c r="L73" s="728">
        <f t="shared" si="8"/>
        <v>0</v>
      </c>
      <c r="M73" s="746">
        <f t="shared" si="9"/>
        <v>0</v>
      </c>
      <c r="N73" s="35"/>
      <c r="O73" s="431">
        <v>986</v>
      </c>
      <c r="S73" s="668" t="s">
        <v>206</v>
      </c>
      <c r="T73" s="693" t="str">
        <f t="shared" si="4"/>
        <v/>
      </c>
      <c r="U73" s="716" t="str">
        <f t="shared" si="5"/>
        <v/>
      </c>
    </row>
    <row r="74" spans="1:21" ht="12.75" x14ac:dyDescent="0.2">
      <c r="A74" s="482" t="s">
        <v>207</v>
      </c>
      <c r="B74" s="487" t="s">
        <v>208</v>
      </c>
      <c r="C74" s="617" t="s">
        <v>46</v>
      </c>
      <c r="D74" s="7">
        <v>0</v>
      </c>
      <c r="E74" s="32">
        <v>0</v>
      </c>
      <c r="F74" s="14"/>
      <c r="G74" s="27" t="str">
        <f t="shared" si="7"/>
        <v/>
      </c>
      <c r="H74" s="720" t="e">
        <f t="shared" si="1"/>
        <v>#VALUE!</v>
      </c>
      <c r="I74" s="36"/>
      <c r="J74" s="735"/>
      <c r="K74" s="36">
        <f t="shared" si="0"/>
        <v>0</v>
      </c>
      <c r="L74" s="728">
        <f t="shared" si="8"/>
        <v>0</v>
      </c>
      <c r="M74" s="746">
        <f t="shared" si="9"/>
        <v>0</v>
      </c>
      <c r="N74" s="35"/>
      <c r="O74" s="431">
        <v>994.4</v>
      </c>
      <c r="S74" s="668" t="s">
        <v>209</v>
      </c>
      <c r="T74" s="693" t="str">
        <f t="shared" si="4"/>
        <v/>
      </c>
      <c r="U74" s="716" t="str">
        <f t="shared" si="5"/>
        <v/>
      </c>
    </row>
    <row r="75" spans="1:21" ht="13.5" thickBot="1" x14ac:dyDescent="0.25">
      <c r="A75" s="490" t="s">
        <v>210</v>
      </c>
      <c r="B75" s="487" t="s">
        <v>211</v>
      </c>
      <c r="C75" s="615" t="s">
        <v>33</v>
      </c>
      <c r="D75" s="454">
        <v>0</v>
      </c>
      <c r="E75" s="455">
        <v>0</v>
      </c>
      <c r="F75" s="14"/>
      <c r="G75" s="27" t="str">
        <f t="shared" ref="G75" si="10">IF(F75=0,"",F75/D75)</f>
        <v/>
      </c>
      <c r="H75" s="720" t="e">
        <f t="shared" ref="H75:H138" si="11">F75*G75</f>
        <v>#VALUE!</v>
      </c>
      <c r="I75" s="36"/>
      <c r="J75" s="735"/>
      <c r="K75" s="36">
        <f t="shared" ref="K75:K138" si="12">I75*J75</f>
        <v>0</v>
      </c>
      <c r="L75" s="728">
        <f t="shared" si="8"/>
        <v>0</v>
      </c>
      <c r="M75" s="746">
        <f t="shared" si="9"/>
        <v>0</v>
      </c>
      <c r="N75" s="35"/>
      <c r="O75" s="431">
        <v>3213.93</v>
      </c>
      <c r="S75" s="668" t="s">
        <v>212</v>
      </c>
      <c r="T75" s="693" t="str">
        <f t="shared" ref="T75:T138" si="13">IF(M75&gt;0, S75, "")</f>
        <v/>
      </c>
      <c r="U75" s="716" t="str">
        <f t="shared" ref="U75:U138" si="14">IF(M75&gt;0, M75, "")</f>
        <v/>
      </c>
    </row>
    <row r="76" spans="1:21" ht="12.75" x14ac:dyDescent="0.2">
      <c r="A76" s="522" t="s">
        <v>213</v>
      </c>
      <c r="B76" s="523" t="s">
        <v>214</v>
      </c>
      <c r="C76" s="618"/>
      <c r="D76" s="531"/>
      <c r="E76" s="524">
        <v>0</v>
      </c>
      <c r="F76" s="460"/>
      <c r="G76" s="442"/>
      <c r="H76" s="748"/>
      <c r="I76" s="443"/>
      <c r="J76" s="738"/>
      <c r="K76" s="749"/>
      <c r="L76" s="731"/>
      <c r="M76" s="750">
        <f>MIN((L77*O77)+(L78*O78),E76)</f>
        <v>0</v>
      </c>
      <c r="N76" s="35"/>
      <c r="O76" s="427"/>
      <c r="S76" s="672" t="s">
        <v>215</v>
      </c>
      <c r="T76" s="693" t="str">
        <f t="shared" si="13"/>
        <v/>
      </c>
      <c r="U76" s="716" t="str">
        <f t="shared" si="14"/>
        <v/>
      </c>
    </row>
    <row r="77" spans="1:21" ht="12.75" x14ac:dyDescent="0.2">
      <c r="A77" s="525" t="s">
        <v>213</v>
      </c>
      <c r="B77" s="499" t="s">
        <v>216</v>
      </c>
      <c r="C77" s="617" t="s">
        <v>46</v>
      </c>
      <c r="D77" s="7">
        <v>0</v>
      </c>
      <c r="E77" s="532"/>
      <c r="F77" s="453"/>
      <c r="G77" s="27" t="str">
        <f>IF(F65=0,"",F65/D65)</f>
        <v/>
      </c>
      <c r="H77" s="720" t="e">
        <f>F77*G77</f>
        <v>#VALUE!</v>
      </c>
      <c r="I77" s="36"/>
      <c r="J77" s="735"/>
      <c r="K77" s="36">
        <f t="shared" si="12"/>
        <v>0</v>
      </c>
      <c r="L77" s="728">
        <f>MIN(D77,F77,I77)</f>
        <v>0</v>
      </c>
      <c r="M77" s="747"/>
      <c r="N77" s="35"/>
      <c r="O77" s="431">
        <v>52854.6</v>
      </c>
      <c r="S77" s="675"/>
      <c r="T77" s="693" t="str">
        <f t="shared" si="13"/>
        <v/>
      </c>
      <c r="U77" s="716" t="str">
        <f t="shared" si="14"/>
        <v/>
      </c>
    </row>
    <row r="78" spans="1:21" ht="13.5" thickBot="1" x14ac:dyDescent="0.25">
      <c r="A78" s="526" t="s">
        <v>213</v>
      </c>
      <c r="B78" s="533" t="s">
        <v>217</v>
      </c>
      <c r="C78" s="619" t="s">
        <v>169</v>
      </c>
      <c r="D78" s="528">
        <v>0</v>
      </c>
      <c r="E78" s="534"/>
      <c r="F78" s="453"/>
      <c r="G78" s="27" t="str">
        <f>IF(F65=0,"",F65/D65)</f>
        <v/>
      </c>
      <c r="H78" s="720" t="e">
        <f t="shared" si="11"/>
        <v>#VALUE!</v>
      </c>
      <c r="I78" s="36"/>
      <c r="J78" s="735"/>
      <c r="K78" s="36">
        <f t="shared" si="12"/>
        <v>0</v>
      </c>
      <c r="L78" s="728">
        <f>MIN(D78,F78,I78)</f>
        <v>0</v>
      </c>
      <c r="M78" s="747"/>
      <c r="N78" s="35"/>
      <c r="O78" s="432">
        <v>28.19</v>
      </c>
      <c r="S78" s="675"/>
      <c r="T78" s="693" t="str">
        <f t="shared" si="13"/>
        <v/>
      </c>
      <c r="U78" s="716" t="str">
        <f t="shared" si="14"/>
        <v/>
      </c>
    </row>
    <row r="79" spans="1:21" ht="12.75" x14ac:dyDescent="0.2">
      <c r="A79" s="535" t="s">
        <v>218</v>
      </c>
      <c r="B79" s="499" t="s">
        <v>219</v>
      </c>
      <c r="C79" s="620"/>
      <c r="D79" s="536"/>
      <c r="E79" s="456">
        <v>0</v>
      </c>
      <c r="F79" s="461"/>
      <c r="G79" s="444"/>
      <c r="H79" s="748"/>
      <c r="I79" s="445"/>
      <c r="J79" s="739"/>
      <c r="K79" s="749"/>
      <c r="L79" s="732"/>
      <c r="M79" s="750">
        <f>MIN((L80*O80)+(L81*O81),E79)</f>
        <v>0</v>
      </c>
      <c r="N79" s="35"/>
      <c r="O79" s="427"/>
      <c r="S79" s="676" t="s">
        <v>220</v>
      </c>
      <c r="T79" s="693" t="str">
        <f t="shared" si="13"/>
        <v/>
      </c>
      <c r="U79" s="716" t="str">
        <f t="shared" si="14"/>
        <v/>
      </c>
    </row>
    <row r="80" spans="1:21" ht="12.75" x14ac:dyDescent="0.2">
      <c r="A80" s="493" t="s">
        <v>218</v>
      </c>
      <c r="B80" s="499" t="s">
        <v>221</v>
      </c>
      <c r="C80" s="617" t="s">
        <v>46</v>
      </c>
      <c r="D80" s="7">
        <v>0</v>
      </c>
      <c r="E80" s="463"/>
      <c r="F80" s="453"/>
      <c r="G80" s="27" t="str">
        <f>IF(F65=0,"",F65/D65)</f>
        <v/>
      </c>
      <c r="H80" s="720" t="e">
        <f t="shared" si="11"/>
        <v>#VALUE!</v>
      </c>
      <c r="I80" s="36"/>
      <c r="J80" s="735"/>
      <c r="K80" s="36">
        <f t="shared" si="12"/>
        <v>0</v>
      </c>
      <c r="L80" s="728">
        <f t="shared" ref="L80:L81" si="15">MIN(D80,F80,I80)</f>
        <v>0</v>
      </c>
      <c r="M80" s="747"/>
      <c r="N80" s="35"/>
      <c r="O80" s="432">
        <v>79891.5</v>
      </c>
      <c r="S80" s="675"/>
      <c r="T80" s="693" t="str">
        <f t="shared" si="13"/>
        <v/>
      </c>
      <c r="U80" s="716" t="str">
        <f t="shared" si="14"/>
        <v/>
      </c>
    </row>
    <row r="81" spans="1:21" ht="13.5" thickBot="1" x14ac:dyDescent="0.25">
      <c r="A81" s="495" t="s">
        <v>218</v>
      </c>
      <c r="B81" s="500" t="s">
        <v>222</v>
      </c>
      <c r="C81" s="619" t="s">
        <v>169</v>
      </c>
      <c r="D81" s="7">
        <v>0</v>
      </c>
      <c r="E81" s="464"/>
      <c r="F81" s="453"/>
      <c r="G81" s="27" t="str">
        <f>IF(F65=0,"",F65/D65)</f>
        <v/>
      </c>
      <c r="H81" s="720" t="e">
        <f t="shared" si="11"/>
        <v>#VALUE!</v>
      </c>
      <c r="I81" s="36"/>
      <c r="J81" s="735"/>
      <c r="K81" s="36">
        <f t="shared" si="12"/>
        <v>0</v>
      </c>
      <c r="L81" s="728">
        <f t="shared" si="15"/>
        <v>0</v>
      </c>
      <c r="M81" s="747"/>
      <c r="N81" s="35"/>
      <c r="O81" s="432">
        <v>22.38</v>
      </c>
      <c r="S81" s="675"/>
      <c r="T81" s="693" t="str">
        <f t="shared" si="13"/>
        <v/>
      </c>
      <c r="U81" s="716" t="str">
        <f t="shared" si="14"/>
        <v/>
      </c>
    </row>
    <row r="82" spans="1:21" ht="12.75" x14ac:dyDescent="0.2">
      <c r="A82" s="491" t="s">
        <v>223</v>
      </c>
      <c r="B82" s="501" t="s">
        <v>224</v>
      </c>
      <c r="C82" s="621"/>
      <c r="D82" s="462"/>
      <c r="E82" s="32">
        <v>0</v>
      </c>
      <c r="F82" s="461"/>
      <c r="G82" s="444"/>
      <c r="H82" s="748"/>
      <c r="I82" s="445"/>
      <c r="J82" s="739"/>
      <c r="K82" s="749"/>
      <c r="L82" s="732"/>
      <c r="M82" s="750">
        <f>MIN((L83*O83)+(L84*O84),E82)</f>
        <v>0</v>
      </c>
      <c r="N82" s="35"/>
      <c r="O82" s="427"/>
      <c r="S82" s="676" t="s">
        <v>225</v>
      </c>
      <c r="T82" s="693" t="str">
        <f t="shared" si="13"/>
        <v/>
      </c>
      <c r="U82" s="716" t="str">
        <f t="shared" si="14"/>
        <v/>
      </c>
    </row>
    <row r="83" spans="1:21" ht="12.75" x14ac:dyDescent="0.2">
      <c r="A83" s="493" t="s">
        <v>223</v>
      </c>
      <c r="B83" s="499" t="s">
        <v>226</v>
      </c>
      <c r="C83" s="617" t="s">
        <v>46</v>
      </c>
      <c r="D83" s="7">
        <v>0</v>
      </c>
      <c r="E83" s="463"/>
      <c r="F83" s="453"/>
      <c r="G83" s="27" t="str">
        <f>IF(F65=0,"",F65/D65)</f>
        <v/>
      </c>
      <c r="H83" s="720" t="e">
        <f t="shared" si="11"/>
        <v>#VALUE!</v>
      </c>
      <c r="I83" s="36"/>
      <c r="J83" s="735"/>
      <c r="K83" s="36">
        <f t="shared" si="12"/>
        <v>0</v>
      </c>
      <c r="L83" s="728">
        <f t="shared" ref="L83:L84" si="16">MIN(D83,F83,I83)</f>
        <v>0</v>
      </c>
      <c r="M83" s="747"/>
      <c r="N83" s="35"/>
      <c r="O83" s="432">
        <v>144677.5</v>
      </c>
      <c r="S83" s="675"/>
      <c r="T83" s="693" t="str">
        <f t="shared" si="13"/>
        <v/>
      </c>
      <c r="U83" s="716" t="str">
        <f t="shared" si="14"/>
        <v/>
      </c>
    </row>
    <row r="84" spans="1:21" ht="13.5" thickBot="1" x14ac:dyDescent="0.25">
      <c r="A84" s="495" t="s">
        <v>223</v>
      </c>
      <c r="B84" s="500" t="s">
        <v>227</v>
      </c>
      <c r="C84" s="619" t="s">
        <v>169</v>
      </c>
      <c r="D84" s="7">
        <v>0</v>
      </c>
      <c r="E84" s="464"/>
      <c r="F84" s="453"/>
      <c r="G84" s="27" t="str">
        <f>IF(F65=0,"",F65/D65)</f>
        <v/>
      </c>
      <c r="H84" s="720" t="e">
        <f t="shared" si="11"/>
        <v>#VALUE!</v>
      </c>
      <c r="I84" s="36"/>
      <c r="J84" s="735"/>
      <c r="K84" s="36">
        <f t="shared" si="12"/>
        <v>0</v>
      </c>
      <c r="L84" s="728">
        <f t="shared" si="16"/>
        <v>0</v>
      </c>
      <c r="M84" s="747"/>
      <c r="N84" s="35"/>
      <c r="O84" s="432">
        <v>23.72</v>
      </c>
      <c r="S84" s="675"/>
      <c r="T84" s="693" t="str">
        <f t="shared" si="13"/>
        <v/>
      </c>
      <c r="U84" s="716" t="str">
        <f t="shared" si="14"/>
        <v/>
      </c>
    </row>
    <row r="85" spans="1:21" ht="12.75" x14ac:dyDescent="0.2">
      <c r="A85" s="513" t="s">
        <v>228</v>
      </c>
      <c r="B85" s="502" t="s">
        <v>229</v>
      </c>
      <c r="C85" s="621"/>
      <c r="D85" s="462"/>
      <c r="E85" s="32">
        <v>0</v>
      </c>
      <c r="F85" s="461"/>
      <c r="G85" s="444"/>
      <c r="H85" s="748"/>
      <c r="I85" s="445"/>
      <c r="J85" s="739"/>
      <c r="K85" s="749"/>
      <c r="L85" s="732"/>
      <c r="M85" s="750">
        <f>MIN((L86*O86)+(L87*O87),E85)</f>
        <v>0</v>
      </c>
      <c r="N85" s="35"/>
      <c r="O85" s="427"/>
      <c r="S85" s="676" t="s">
        <v>230</v>
      </c>
      <c r="T85" s="693" t="str">
        <f t="shared" si="13"/>
        <v/>
      </c>
      <c r="U85" s="716" t="str">
        <f t="shared" si="14"/>
        <v/>
      </c>
    </row>
    <row r="86" spans="1:21" ht="12.75" x14ac:dyDescent="0.2">
      <c r="A86" s="514" t="s">
        <v>228</v>
      </c>
      <c r="B86" s="503" t="s">
        <v>231</v>
      </c>
      <c r="C86" s="617" t="s">
        <v>46</v>
      </c>
      <c r="D86" s="7">
        <v>0</v>
      </c>
      <c r="E86" s="463"/>
      <c r="F86" s="453"/>
      <c r="G86" s="27" t="str">
        <f>IF(F65=0,"",F65/D65)</f>
        <v/>
      </c>
      <c r="H86" s="720" t="e">
        <f t="shared" si="11"/>
        <v>#VALUE!</v>
      </c>
      <c r="I86" s="36"/>
      <c r="J86" s="735"/>
      <c r="K86" s="36">
        <f t="shared" si="12"/>
        <v>0</v>
      </c>
      <c r="L86" s="728">
        <f t="shared" ref="L86:L87" si="17">MIN(D86,F86,I86)</f>
        <v>0</v>
      </c>
      <c r="M86" s="747"/>
      <c r="N86" s="35"/>
      <c r="O86" s="432">
        <v>169551</v>
      </c>
      <c r="S86" s="675"/>
      <c r="T86" s="693" t="str">
        <f t="shared" si="13"/>
        <v/>
      </c>
      <c r="U86" s="716" t="str">
        <f t="shared" si="14"/>
        <v/>
      </c>
    </row>
    <row r="87" spans="1:21" ht="13.5" thickBot="1" x14ac:dyDescent="0.25">
      <c r="A87" s="515" t="s">
        <v>228</v>
      </c>
      <c r="B87" s="504" t="s">
        <v>232</v>
      </c>
      <c r="C87" s="619" t="s">
        <v>169</v>
      </c>
      <c r="D87" s="7">
        <v>0</v>
      </c>
      <c r="E87" s="464"/>
      <c r="F87" s="453"/>
      <c r="G87" s="27" t="str">
        <f>IF(F65=0,"",F65/D65)</f>
        <v/>
      </c>
      <c r="H87" s="720" t="e">
        <f t="shared" si="11"/>
        <v>#VALUE!</v>
      </c>
      <c r="I87" s="36"/>
      <c r="J87" s="735"/>
      <c r="K87" s="36">
        <f t="shared" si="12"/>
        <v>0</v>
      </c>
      <c r="L87" s="728">
        <f t="shared" si="17"/>
        <v>0</v>
      </c>
      <c r="M87" s="747"/>
      <c r="N87" s="35"/>
      <c r="O87" s="432">
        <v>24.33</v>
      </c>
      <c r="S87" s="675"/>
      <c r="T87" s="693" t="str">
        <f t="shared" si="13"/>
        <v/>
      </c>
      <c r="U87" s="716" t="str">
        <f t="shared" si="14"/>
        <v/>
      </c>
    </row>
    <row r="88" spans="1:21" ht="12.75" x14ac:dyDescent="0.2">
      <c r="A88" s="513" t="s">
        <v>233</v>
      </c>
      <c r="B88" s="502" t="s">
        <v>234</v>
      </c>
      <c r="C88" s="621"/>
      <c r="D88" s="462"/>
      <c r="E88" s="32">
        <v>0</v>
      </c>
      <c r="F88" s="461"/>
      <c r="G88" s="444"/>
      <c r="H88" s="748"/>
      <c r="I88" s="445"/>
      <c r="J88" s="739"/>
      <c r="K88" s="749"/>
      <c r="L88" s="732"/>
      <c r="M88" s="750">
        <f>MIN((L89*O89)+(L90*O90),E88)</f>
        <v>0</v>
      </c>
      <c r="N88" s="35"/>
      <c r="O88" s="427"/>
      <c r="S88" s="676" t="s">
        <v>235</v>
      </c>
      <c r="T88" s="693" t="str">
        <f t="shared" si="13"/>
        <v/>
      </c>
      <c r="U88" s="716" t="str">
        <f t="shared" si="14"/>
        <v/>
      </c>
    </row>
    <row r="89" spans="1:21" ht="12.75" x14ac:dyDescent="0.2">
      <c r="A89" s="514" t="s">
        <v>233</v>
      </c>
      <c r="B89" s="503" t="s">
        <v>236</v>
      </c>
      <c r="C89" s="617" t="s">
        <v>46</v>
      </c>
      <c r="D89" s="7">
        <v>0</v>
      </c>
      <c r="E89" s="463"/>
      <c r="F89" s="453"/>
      <c r="G89" s="27" t="str">
        <f>IF(F65=0,"",F65/D65)</f>
        <v/>
      </c>
      <c r="H89" s="720" t="e">
        <f t="shared" si="11"/>
        <v>#VALUE!</v>
      </c>
      <c r="I89" s="36"/>
      <c r="J89" s="735"/>
      <c r="K89" s="36">
        <f t="shared" si="12"/>
        <v>0</v>
      </c>
      <c r="L89" s="728">
        <f t="shared" ref="L89:L90" si="18">MIN(D89,F89,I89)</f>
        <v>0</v>
      </c>
      <c r="M89" s="747"/>
      <c r="N89" s="35"/>
      <c r="O89" s="432">
        <v>70437.100000000006</v>
      </c>
      <c r="S89" s="675"/>
      <c r="T89" s="693" t="str">
        <f t="shared" si="13"/>
        <v/>
      </c>
      <c r="U89" s="716" t="str">
        <f t="shared" si="14"/>
        <v/>
      </c>
    </row>
    <row r="90" spans="1:21" ht="13.5" thickBot="1" x14ac:dyDescent="0.25">
      <c r="A90" s="515" t="s">
        <v>233</v>
      </c>
      <c r="B90" s="504" t="s">
        <v>237</v>
      </c>
      <c r="C90" s="619" t="s">
        <v>169</v>
      </c>
      <c r="D90" s="7">
        <v>0</v>
      </c>
      <c r="E90" s="464"/>
      <c r="F90" s="453"/>
      <c r="G90" s="27" t="str">
        <f>IF(F65=0,"",F65/D65)</f>
        <v/>
      </c>
      <c r="H90" s="720" t="e">
        <f t="shared" si="11"/>
        <v>#VALUE!</v>
      </c>
      <c r="I90" s="36"/>
      <c r="J90" s="735"/>
      <c r="K90" s="36">
        <f t="shared" si="12"/>
        <v>0</v>
      </c>
      <c r="L90" s="728">
        <f t="shared" si="18"/>
        <v>0</v>
      </c>
      <c r="M90" s="747"/>
      <c r="N90" s="35"/>
      <c r="O90" s="432">
        <v>34.46</v>
      </c>
      <c r="S90" s="675"/>
      <c r="T90" s="693" t="str">
        <f t="shared" si="13"/>
        <v/>
      </c>
      <c r="U90" s="716" t="str">
        <f t="shared" si="14"/>
        <v/>
      </c>
    </row>
    <row r="91" spans="1:21" ht="12.75" x14ac:dyDescent="0.2">
      <c r="A91" s="513" t="s">
        <v>238</v>
      </c>
      <c r="B91" s="502" t="s">
        <v>239</v>
      </c>
      <c r="C91" s="621"/>
      <c r="D91" s="462"/>
      <c r="E91" s="32">
        <v>0</v>
      </c>
      <c r="F91" s="461"/>
      <c r="G91" s="444"/>
      <c r="H91" s="748"/>
      <c r="I91" s="445"/>
      <c r="J91" s="739"/>
      <c r="K91" s="749"/>
      <c r="L91" s="732">
        <v>5</v>
      </c>
      <c r="M91" s="750">
        <f>MIN((L92*O92)+(L93*O93),E91)</f>
        <v>0</v>
      </c>
      <c r="N91" s="35"/>
      <c r="O91" s="427"/>
      <c r="S91" s="676" t="s">
        <v>240</v>
      </c>
      <c r="T91" s="693" t="str">
        <f t="shared" si="13"/>
        <v/>
      </c>
      <c r="U91" s="716" t="str">
        <f t="shared" si="14"/>
        <v/>
      </c>
    </row>
    <row r="92" spans="1:21" ht="12.75" x14ac:dyDescent="0.2">
      <c r="A92" s="514" t="s">
        <v>238</v>
      </c>
      <c r="B92" s="503" t="s">
        <v>241</v>
      </c>
      <c r="C92" s="617" t="s">
        <v>46</v>
      </c>
      <c r="D92" s="7">
        <v>0</v>
      </c>
      <c r="E92" s="463"/>
      <c r="F92" s="453"/>
      <c r="G92" s="27" t="str">
        <f>IF(F65=0,"",F65/D65)</f>
        <v/>
      </c>
      <c r="H92" s="720" t="e">
        <f t="shared" si="11"/>
        <v>#VALUE!</v>
      </c>
      <c r="I92" s="36"/>
      <c r="J92" s="735"/>
      <c r="K92" s="36">
        <f t="shared" si="12"/>
        <v>0</v>
      </c>
      <c r="L92" s="728">
        <f t="shared" ref="L92:L93" si="19">MIN(D92,F92,I92)</f>
        <v>0</v>
      </c>
      <c r="M92" s="747"/>
      <c r="N92" s="35"/>
      <c r="O92" s="432">
        <v>114590.5</v>
      </c>
      <c r="S92" s="675"/>
      <c r="T92" s="693" t="str">
        <f t="shared" si="13"/>
        <v/>
      </c>
      <c r="U92" s="716" t="str">
        <f t="shared" si="14"/>
        <v/>
      </c>
    </row>
    <row r="93" spans="1:21" ht="13.5" thickBot="1" x14ac:dyDescent="0.25">
      <c r="A93" s="515" t="s">
        <v>238</v>
      </c>
      <c r="B93" s="504" t="s">
        <v>242</v>
      </c>
      <c r="C93" s="619" t="s">
        <v>169</v>
      </c>
      <c r="D93" s="7">
        <v>0</v>
      </c>
      <c r="E93" s="464"/>
      <c r="F93" s="453"/>
      <c r="G93" s="27" t="str">
        <f>IF(F65=0,"",F65/D65)</f>
        <v/>
      </c>
      <c r="H93" s="720" t="e">
        <f t="shared" si="11"/>
        <v>#VALUE!</v>
      </c>
      <c r="I93" s="36"/>
      <c r="J93" s="735"/>
      <c r="K93" s="36">
        <f t="shared" si="12"/>
        <v>0</v>
      </c>
      <c r="L93" s="728">
        <f t="shared" si="19"/>
        <v>0</v>
      </c>
      <c r="M93" s="747"/>
      <c r="N93" s="35"/>
      <c r="O93" s="432">
        <v>28.03</v>
      </c>
      <c r="S93" s="675"/>
      <c r="T93" s="693" t="str">
        <f t="shared" si="13"/>
        <v/>
      </c>
      <c r="U93" s="716" t="str">
        <f t="shared" si="14"/>
        <v/>
      </c>
    </row>
    <row r="94" spans="1:21" ht="12.75" x14ac:dyDescent="0.2">
      <c r="A94" s="513" t="s">
        <v>243</v>
      </c>
      <c r="B94" s="502" t="s">
        <v>244</v>
      </c>
      <c r="C94" s="621"/>
      <c r="D94" s="462"/>
      <c r="E94" s="32">
        <v>0</v>
      </c>
      <c r="F94" s="461"/>
      <c r="G94" s="444"/>
      <c r="H94" s="748"/>
      <c r="I94" s="445"/>
      <c r="J94" s="739"/>
      <c r="K94" s="749"/>
      <c r="L94" s="732"/>
      <c r="M94" s="750">
        <f>MIN((L95*O95)+(L96*O96),E94)</f>
        <v>0</v>
      </c>
      <c r="N94" s="35"/>
      <c r="O94" s="427"/>
      <c r="S94" s="676" t="s">
        <v>245</v>
      </c>
      <c r="T94" s="693" t="str">
        <f t="shared" si="13"/>
        <v/>
      </c>
      <c r="U94" s="716" t="str">
        <f t="shared" si="14"/>
        <v/>
      </c>
    </row>
    <row r="95" spans="1:21" ht="12.75" x14ac:dyDescent="0.2">
      <c r="A95" s="514" t="s">
        <v>243</v>
      </c>
      <c r="B95" s="503" t="s">
        <v>246</v>
      </c>
      <c r="C95" s="617" t="s">
        <v>46</v>
      </c>
      <c r="D95" s="7">
        <v>0</v>
      </c>
      <c r="E95" s="463"/>
      <c r="F95" s="453"/>
      <c r="G95" s="27" t="str">
        <f>IF(F65=0,"",F65/D65)</f>
        <v/>
      </c>
      <c r="H95" s="720" t="e">
        <f t="shared" si="11"/>
        <v>#VALUE!</v>
      </c>
      <c r="I95" s="36"/>
      <c r="J95" s="735"/>
      <c r="K95" s="36">
        <f t="shared" si="12"/>
        <v>0</v>
      </c>
      <c r="L95" s="728">
        <f t="shared" ref="L95:L96" si="20">MIN(D95,F95,I95)</f>
        <v>0</v>
      </c>
      <c r="M95" s="747"/>
      <c r="N95" s="35"/>
      <c r="O95" s="432">
        <v>184901</v>
      </c>
      <c r="S95" s="675"/>
      <c r="T95" s="693" t="str">
        <f t="shared" si="13"/>
        <v/>
      </c>
      <c r="U95" s="716" t="str">
        <f t="shared" si="14"/>
        <v/>
      </c>
    </row>
    <row r="96" spans="1:21" ht="13.5" thickBot="1" x14ac:dyDescent="0.25">
      <c r="A96" s="515" t="s">
        <v>243</v>
      </c>
      <c r="B96" s="504" t="s">
        <v>247</v>
      </c>
      <c r="C96" s="619" t="s">
        <v>169</v>
      </c>
      <c r="D96" s="7">
        <v>0</v>
      </c>
      <c r="E96" s="464"/>
      <c r="F96" s="453"/>
      <c r="G96" s="27" t="str">
        <f>IF(F65=0,"",F65/D65)</f>
        <v/>
      </c>
      <c r="H96" s="720" t="e">
        <f t="shared" si="11"/>
        <v>#VALUE!</v>
      </c>
      <c r="I96" s="36"/>
      <c r="J96" s="735"/>
      <c r="K96" s="36">
        <f t="shared" si="12"/>
        <v>0</v>
      </c>
      <c r="L96" s="728">
        <f t="shared" si="20"/>
        <v>0</v>
      </c>
      <c r="M96" s="747"/>
      <c r="N96" s="35"/>
      <c r="O96" s="432">
        <v>30.82</v>
      </c>
      <c r="S96" s="675"/>
      <c r="T96" s="693" t="str">
        <f t="shared" si="13"/>
        <v/>
      </c>
      <c r="U96" s="716" t="str">
        <f t="shared" si="14"/>
        <v/>
      </c>
    </row>
    <row r="97" spans="1:21" ht="12.75" x14ac:dyDescent="0.2">
      <c r="A97" s="513" t="s">
        <v>248</v>
      </c>
      <c r="B97" s="502" t="s">
        <v>249</v>
      </c>
      <c r="C97" s="621"/>
      <c r="D97" s="462"/>
      <c r="E97" s="32">
        <v>0</v>
      </c>
      <c r="F97" s="461"/>
      <c r="G97" s="444"/>
      <c r="H97" s="748"/>
      <c r="I97" s="445"/>
      <c r="J97" s="739"/>
      <c r="K97" s="749"/>
      <c r="L97" s="732"/>
      <c r="M97" s="750">
        <f>MIN((L98*O98)+(L99*O99),E97)</f>
        <v>0</v>
      </c>
      <c r="N97" s="35"/>
      <c r="O97" s="427"/>
      <c r="S97" s="676" t="s">
        <v>250</v>
      </c>
      <c r="T97" s="693" t="str">
        <f t="shared" si="13"/>
        <v/>
      </c>
      <c r="U97" s="716" t="str">
        <f t="shared" si="14"/>
        <v/>
      </c>
    </row>
    <row r="98" spans="1:21" ht="12.75" x14ac:dyDescent="0.2">
      <c r="A98" s="514" t="s">
        <v>248</v>
      </c>
      <c r="B98" s="503" t="s">
        <v>251</v>
      </c>
      <c r="C98" s="617" t="s">
        <v>46</v>
      </c>
      <c r="D98" s="7">
        <v>0</v>
      </c>
      <c r="E98" s="463"/>
      <c r="F98" s="453"/>
      <c r="G98" s="27" t="str">
        <f>IF(F65=0,"",F65/D65)</f>
        <v/>
      </c>
      <c r="H98" s="720" t="e">
        <f t="shared" si="11"/>
        <v>#VALUE!</v>
      </c>
      <c r="I98" s="36"/>
      <c r="J98" s="735"/>
      <c r="K98" s="36">
        <f t="shared" si="12"/>
        <v>0</v>
      </c>
      <c r="L98" s="728">
        <f t="shared" ref="L98:L99" si="21">MIN(D98,F98,I98)</f>
        <v>0</v>
      </c>
      <c r="M98" s="747"/>
      <c r="N98" s="35"/>
      <c r="O98" s="432">
        <v>378030</v>
      </c>
      <c r="S98" s="675"/>
      <c r="T98" s="693" t="str">
        <f t="shared" si="13"/>
        <v/>
      </c>
      <c r="U98" s="716" t="str">
        <f t="shared" si="14"/>
        <v/>
      </c>
    </row>
    <row r="99" spans="1:21" ht="13.5" thickBot="1" x14ac:dyDescent="0.25">
      <c r="A99" s="515" t="s">
        <v>248</v>
      </c>
      <c r="B99" s="504" t="s">
        <v>252</v>
      </c>
      <c r="C99" s="619" t="s">
        <v>169</v>
      </c>
      <c r="D99" s="7">
        <v>0</v>
      </c>
      <c r="E99" s="464"/>
      <c r="F99" s="453"/>
      <c r="G99" s="27" t="str">
        <f>IF(F65=0,"",F65/D65)</f>
        <v/>
      </c>
      <c r="H99" s="720" t="e">
        <f t="shared" si="11"/>
        <v>#VALUE!</v>
      </c>
      <c r="I99" s="36"/>
      <c r="J99" s="735"/>
      <c r="K99" s="36">
        <f t="shared" si="12"/>
        <v>0</v>
      </c>
      <c r="L99" s="728">
        <f t="shared" si="21"/>
        <v>0</v>
      </c>
      <c r="M99" s="747"/>
      <c r="N99" s="35"/>
      <c r="O99" s="432">
        <v>28</v>
      </c>
      <c r="S99" s="675"/>
      <c r="T99" s="693" t="str">
        <f t="shared" si="13"/>
        <v/>
      </c>
      <c r="U99" s="716" t="str">
        <f t="shared" si="14"/>
        <v/>
      </c>
    </row>
    <row r="100" spans="1:21" ht="12.75" x14ac:dyDescent="0.2">
      <c r="A100" s="513" t="s">
        <v>253</v>
      </c>
      <c r="B100" s="502" t="s">
        <v>254</v>
      </c>
      <c r="C100" s="621"/>
      <c r="D100" s="462"/>
      <c r="E100" s="32">
        <v>0</v>
      </c>
      <c r="F100" s="461"/>
      <c r="G100" s="444"/>
      <c r="H100" s="748"/>
      <c r="I100" s="445"/>
      <c r="J100" s="739"/>
      <c r="K100" s="749"/>
      <c r="L100" s="732"/>
      <c r="M100" s="750">
        <f>MIN((L101*O101)+(L102*O102),E100)</f>
        <v>0</v>
      </c>
      <c r="N100" s="35"/>
      <c r="O100" s="427"/>
      <c r="S100" s="676" t="s">
        <v>255</v>
      </c>
      <c r="T100" s="693" t="str">
        <f t="shared" si="13"/>
        <v/>
      </c>
      <c r="U100" s="716" t="str">
        <f t="shared" si="14"/>
        <v/>
      </c>
    </row>
    <row r="101" spans="1:21" ht="12.75" x14ac:dyDescent="0.2">
      <c r="A101" s="514" t="s">
        <v>253</v>
      </c>
      <c r="B101" s="503" t="s">
        <v>256</v>
      </c>
      <c r="C101" s="617" t="s">
        <v>46</v>
      </c>
      <c r="D101" s="7">
        <v>0</v>
      </c>
      <c r="E101" s="463"/>
      <c r="F101" s="453"/>
      <c r="G101" s="27" t="str">
        <f>IF(F65=0,"",F65/D65)</f>
        <v/>
      </c>
      <c r="H101" s="720" t="e">
        <f t="shared" si="11"/>
        <v>#VALUE!</v>
      </c>
      <c r="I101" s="36"/>
      <c r="J101" s="735"/>
      <c r="K101" s="36">
        <f t="shared" si="12"/>
        <v>0</v>
      </c>
      <c r="L101" s="728">
        <f t="shared" ref="L101:L102" si="22">MIN(D101,F101,I101)</f>
        <v>0</v>
      </c>
      <c r="M101" s="747"/>
      <c r="N101" s="35"/>
      <c r="O101" s="432">
        <v>7881.83</v>
      </c>
      <c r="S101" s="675"/>
      <c r="T101" s="693" t="str">
        <f t="shared" si="13"/>
        <v/>
      </c>
      <c r="U101" s="716" t="str">
        <f t="shared" si="14"/>
        <v/>
      </c>
    </row>
    <row r="102" spans="1:21" ht="13.5" thickBot="1" x14ac:dyDescent="0.25">
      <c r="A102" s="515" t="s">
        <v>253</v>
      </c>
      <c r="B102" s="504" t="s">
        <v>257</v>
      </c>
      <c r="C102" s="619" t="s">
        <v>169</v>
      </c>
      <c r="D102" s="7">
        <v>0</v>
      </c>
      <c r="E102" s="464"/>
      <c r="F102" s="453"/>
      <c r="G102" s="27" t="str">
        <f>IF(F65=0,"",F65/D65)</f>
        <v/>
      </c>
      <c r="H102" s="720" t="e">
        <f t="shared" si="11"/>
        <v>#VALUE!</v>
      </c>
      <c r="I102" s="36"/>
      <c r="J102" s="735"/>
      <c r="K102" s="36">
        <f t="shared" si="12"/>
        <v>0</v>
      </c>
      <c r="L102" s="728">
        <f t="shared" si="22"/>
        <v>0</v>
      </c>
      <c r="M102" s="747"/>
      <c r="N102" s="35"/>
      <c r="O102" s="432">
        <v>4.38</v>
      </c>
      <c r="S102" s="675"/>
      <c r="T102" s="693" t="str">
        <f t="shared" si="13"/>
        <v/>
      </c>
      <c r="U102" s="716" t="str">
        <f t="shared" si="14"/>
        <v/>
      </c>
    </row>
    <row r="103" spans="1:21" ht="12.75" x14ac:dyDescent="0.2">
      <c r="A103" s="513" t="s">
        <v>258</v>
      </c>
      <c r="B103" s="502" t="s">
        <v>259</v>
      </c>
      <c r="C103" s="621"/>
      <c r="D103" s="462"/>
      <c r="E103" s="32">
        <v>0</v>
      </c>
      <c r="F103" s="461"/>
      <c r="G103" s="444"/>
      <c r="H103" s="748"/>
      <c r="I103" s="445"/>
      <c r="J103" s="739"/>
      <c r="K103" s="749"/>
      <c r="L103" s="732"/>
      <c r="M103" s="750">
        <f>MIN((L104*O104)+(L105*O105),E103)</f>
        <v>0</v>
      </c>
      <c r="N103" s="35"/>
      <c r="O103" s="427"/>
      <c r="S103" s="676" t="s">
        <v>260</v>
      </c>
      <c r="T103" s="693" t="str">
        <f t="shared" si="13"/>
        <v/>
      </c>
      <c r="U103" s="716" t="str">
        <f t="shared" si="14"/>
        <v/>
      </c>
    </row>
    <row r="104" spans="1:21" ht="12.75" x14ac:dyDescent="0.2">
      <c r="A104" s="514" t="s">
        <v>258</v>
      </c>
      <c r="B104" s="503" t="s">
        <v>261</v>
      </c>
      <c r="C104" s="617" t="s">
        <v>46</v>
      </c>
      <c r="D104" s="7">
        <v>0</v>
      </c>
      <c r="E104" s="463"/>
      <c r="F104" s="453"/>
      <c r="G104" s="27" t="str">
        <f>IF(F65=0,"",F65/D65)</f>
        <v/>
      </c>
      <c r="H104" s="720" t="e">
        <f t="shared" si="11"/>
        <v>#VALUE!</v>
      </c>
      <c r="I104" s="36"/>
      <c r="J104" s="735"/>
      <c r="K104" s="36">
        <f t="shared" si="12"/>
        <v>0</v>
      </c>
      <c r="L104" s="728">
        <f t="shared" ref="L104:L105" si="23">MIN(D104,F104,I104)</f>
        <v>0</v>
      </c>
      <c r="M104" s="747"/>
      <c r="N104" s="35"/>
      <c r="O104" s="432">
        <v>7469.45</v>
      </c>
      <c r="S104" s="675"/>
      <c r="T104" s="693" t="str">
        <f t="shared" si="13"/>
        <v/>
      </c>
      <c r="U104" s="716" t="str">
        <f t="shared" si="14"/>
        <v/>
      </c>
    </row>
    <row r="105" spans="1:21" ht="13.5" thickBot="1" x14ac:dyDescent="0.25">
      <c r="A105" s="515" t="s">
        <v>258</v>
      </c>
      <c r="B105" s="504" t="s">
        <v>262</v>
      </c>
      <c r="C105" s="619" t="s">
        <v>169</v>
      </c>
      <c r="D105" s="7">
        <v>0</v>
      </c>
      <c r="E105" s="464"/>
      <c r="F105" s="453"/>
      <c r="G105" s="27" t="str">
        <f>IF(F65=0,"",F65/D65)</f>
        <v/>
      </c>
      <c r="H105" s="720" t="e">
        <f t="shared" si="11"/>
        <v>#VALUE!</v>
      </c>
      <c r="I105" s="36"/>
      <c r="J105" s="735"/>
      <c r="K105" s="36">
        <f t="shared" si="12"/>
        <v>0</v>
      </c>
      <c r="L105" s="728">
        <f t="shared" si="23"/>
        <v>0</v>
      </c>
      <c r="M105" s="747"/>
      <c r="N105" s="35"/>
      <c r="O105" s="432">
        <v>2.4900000000000002</v>
      </c>
      <c r="S105" s="675"/>
      <c r="T105" s="693" t="str">
        <f t="shared" si="13"/>
        <v/>
      </c>
      <c r="U105" s="716" t="str">
        <f t="shared" si="14"/>
        <v/>
      </c>
    </row>
    <row r="106" spans="1:21" ht="12.75" x14ac:dyDescent="0.2">
      <c r="A106" s="513" t="s">
        <v>263</v>
      </c>
      <c r="B106" s="502" t="s">
        <v>264</v>
      </c>
      <c r="C106" s="621"/>
      <c r="D106" s="462"/>
      <c r="E106" s="32">
        <v>0</v>
      </c>
      <c r="F106" s="461"/>
      <c r="G106" s="444"/>
      <c r="H106" s="748"/>
      <c r="I106" s="445"/>
      <c r="J106" s="739"/>
      <c r="K106" s="749"/>
      <c r="L106" s="732"/>
      <c r="M106" s="750">
        <f>MIN((L107*O107)+(L108*O108),E106)</f>
        <v>0</v>
      </c>
      <c r="N106" s="35"/>
      <c r="O106" s="427"/>
      <c r="S106" s="676" t="s">
        <v>265</v>
      </c>
      <c r="T106" s="693" t="str">
        <f t="shared" si="13"/>
        <v/>
      </c>
      <c r="U106" s="716" t="str">
        <f t="shared" si="14"/>
        <v/>
      </c>
    </row>
    <row r="107" spans="1:21" ht="12.75" x14ac:dyDescent="0.2">
      <c r="A107" s="514" t="s">
        <v>263</v>
      </c>
      <c r="B107" s="503" t="s">
        <v>266</v>
      </c>
      <c r="C107" s="617" t="s">
        <v>46</v>
      </c>
      <c r="D107" s="7">
        <v>0</v>
      </c>
      <c r="E107" s="463"/>
      <c r="F107" s="453"/>
      <c r="G107" s="27" t="str">
        <f>IF(F65=0,"",F65/D65)</f>
        <v/>
      </c>
      <c r="H107" s="720" t="e">
        <f t="shared" si="11"/>
        <v>#VALUE!</v>
      </c>
      <c r="I107" s="36"/>
      <c r="J107" s="735"/>
      <c r="K107" s="36">
        <f t="shared" si="12"/>
        <v>0</v>
      </c>
      <c r="L107" s="728">
        <f t="shared" ref="L107" si="24">MIN(D107,F107,I107)</f>
        <v>0</v>
      </c>
      <c r="M107" s="747"/>
      <c r="N107" s="35"/>
      <c r="O107" s="432">
        <v>10452.799999999999</v>
      </c>
      <c r="S107" s="675"/>
      <c r="T107" s="693" t="str">
        <f t="shared" si="13"/>
        <v/>
      </c>
      <c r="U107" s="716" t="str">
        <f t="shared" si="14"/>
        <v/>
      </c>
    </row>
    <row r="108" spans="1:21" ht="13.5" thickBot="1" x14ac:dyDescent="0.25">
      <c r="A108" s="515" t="s">
        <v>263</v>
      </c>
      <c r="B108" s="504" t="s">
        <v>267</v>
      </c>
      <c r="C108" s="619" t="s">
        <v>169</v>
      </c>
      <c r="D108" s="7">
        <v>0</v>
      </c>
      <c r="E108" s="464"/>
      <c r="F108" s="453"/>
      <c r="G108" s="27" t="str">
        <f>IF(F65=0,"",F65/D65)</f>
        <v/>
      </c>
      <c r="H108" s="720" t="e">
        <f t="shared" si="11"/>
        <v>#VALUE!</v>
      </c>
      <c r="I108" s="36"/>
      <c r="J108" s="735"/>
      <c r="K108" s="36">
        <f t="shared" si="12"/>
        <v>0</v>
      </c>
      <c r="L108" s="728">
        <f t="shared" ref="L108:L136" si="25">MIN(D108,F108,I108)</f>
        <v>0</v>
      </c>
      <c r="M108" s="747"/>
      <c r="N108" s="35"/>
      <c r="O108" s="432">
        <v>10.87</v>
      </c>
      <c r="S108" s="675"/>
      <c r="T108" s="693" t="str">
        <f t="shared" si="13"/>
        <v/>
      </c>
      <c r="U108" s="716" t="str">
        <f t="shared" si="14"/>
        <v/>
      </c>
    </row>
    <row r="109" spans="1:21" ht="12.75" x14ac:dyDescent="0.2">
      <c r="A109" s="513" t="s">
        <v>268</v>
      </c>
      <c r="B109" s="502" t="s">
        <v>269</v>
      </c>
      <c r="C109" s="621"/>
      <c r="D109" s="462"/>
      <c r="E109" s="32">
        <v>0</v>
      </c>
      <c r="F109" s="461"/>
      <c r="G109" s="444"/>
      <c r="H109" s="748"/>
      <c r="I109" s="445"/>
      <c r="J109" s="739"/>
      <c r="K109" s="749"/>
      <c r="L109" s="732"/>
      <c r="M109" s="750">
        <f>MIN((L110*O110)+(L111*O111),E109)</f>
        <v>0</v>
      </c>
      <c r="N109" s="35"/>
      <c r="O109" s="427"/>
      <c r="S109" s="676" t="s">
        <v>270</v>
      </c>
      <c r="T109" s="693" t="str">
        <f t="shared" si="13"/>
        <v/>
      </c>
      <c r="U109" s="716" t="str">
        <f t="shared" si="14"/>
        <v/>
      </c>
    </row>
    <row r="110" spans="1:21" ht="13.5" thickBot="1" x14ac:dyDescent="0.25">
      <c r="A110" s="514" t="s">
        <v>268</v>
      </c>
      <c r="B110" s="503" t="s">
        <v>271</v>
      </c>
      <c r="C110" s="617" t="s">
        <v>46</v>
      </c>
      <c r="D110" s="458">
        <v>0</v>
      </c>
      <c r="E110" s="463"/>
      <c r="F110" s="453"/>
      <c r="G110" s="27" t="str">
        <f>IF(F65=0,"",F65/D65)</f>
        <v/>
      </c>
      <c r="H110" s="720" t="e">
        <f t="shared" si="11"/>
        <v>#VALUE!</v>
      </c>
      <c r="I110" s="36"/>
      <c r="J110" s="735"/>
      <c r="K110" s="36">
        <f t="shared" si="12"/>
        <v>0</v>
      </c>
      <c r="L110" s="728">
        <f t="shared" si="25"/>
        <v>0</v>
      </c>
      <c r="M110" s="747"/>
      <c r="N110" s="35"/>
      <c r="O110" s="431">
        <v>22479.120000000003</v>
      </c>
      <c r="S110" s="675"/>
      <c r="T110" s="693" t="str">
        <f t="shared" si="13"/>
        <v/>
      </c>
      <c r="U110" s="716" t="str">
        <f t="shared" si="14"/>
        <v/>
      </c>
    </row>
    <row r="111" spans="1:21" ht="13.5" thickBot="1" x14ac:dyDescent="0.25">
      <c r="A111" s="515" t="s">
        <v>268</v>
      </c>
      <c r="B111" s="504" t="s">
        <v>272</v>
      </c>
      <c r="C111" s="619" t="s">
        <v>169</v>
      </c>
      <c r="D111" s="458">
        <v>0</v>
      </c>
      <c r="E111" s="464"/>
      <c r="F111" s="453"/>
      <c r="G111" s="27" t="str">
        <f>IF(F65=0,"",F65/D65)</f>
        <v/>
      </c>
      <c r="H111" s="720" t="e">
        <f t="shared" si="11"/>
        <v>#VALUE!</v>
      </c>
      <c r="I111" s="36"/>
      <c r="J111" s="735"/>
      <c r="K111" s="36">
        <f t="shared" si="12"/>
        <v>0</v>
      </c>
      <c r="L111" s="728">
        <f t="shared" si="25"/>
        <v>0</v>
      </c>
      <c r="M111" s="747"/>
      <c r="N111" s="35"/>
      <c r="O111" s="431">
        <v>3.7476000000000003</v>
      </c>
      <c r="S111" s="677"/>
      <c r="T111" s="693" t="str">
        <f t="shared" si="13"/>
        <v/>
      </c>
      <c r="U111" s="716" t="str">
        <f t="shared" si="14"/>
        <v/>
      </c>
    </row>
    <row r="112" spans="1:21" ht="12.75" x14ac:dyDescent="0.2">
      <c r="A112" s="497" t="s">
        <v>273</v>
      </c>
      <c r="B112" s="498" t="s">
        <v>274</v>
      </c>
      <c r="C112" s="620" t="s">
        <v>275</v>
      </c>
      <c r="D112" s="7">
        <v>0</v>
      </c>
      <c r="E112" s="32">
        <v>0</v>
      </c>
      <c r="F112" s="14"/>
      <c r="G112" s="27" t="str">
        <f>IF(F65=0,"",F65/D65)</f>
        <v/>
      </c>
      <c r="H112" s="720" t="e">
        <f t="shared" si="11"/>
        <v>#VALUE!</v>
      </c>
      <c r="I112" s="36"/>
      <c r="J112" s="735"/>
      <c r="K112" s="36">
        <f t="shared" si="12"/>
        <v>0</v>
      </c>
      <c r="L112" s="728">
        <f t="shared" si="25"/>
        <v>0</v>
      </c>
      <c r="M112" s="746">
        <f t="shared" ref="M112:M130" si="26">MIN(L112*O112,E112)</f>
        <v>0</v>
      </c>
      <c r="N112" s="35"/>
      <c r="O112" s="432">
        <v>11002.068000000001</v>
      </c>
      <c r="S112" s="678" t="s">
        <v>276</v>
      </c>
      <c r="T112" s="693" t="str">
        <f t="shared" si="13"/>
        <v/>
      </c>
      <c r="U112" s="716" t="str">
        <f t="shared" si="14"/>
        <v/>
      </c>
    </row>
    <row r="113" spans="1:21" ht="12.75" x14ac:dyDescent="0.2">
      <c r="A113" s="482" t="s">
        <v>277</v>
      </c>
      <c r="B113" s="498" t="s">
        <v>278</v>
      </c>
      <c r="C113" s="617" t="s">
        <v>46</v>
      </c>
      <c r="D113" s="7">
        <v>0</v>
      </c>
      <c r="E113" s="32">
        <v>0</v>
      </c>
      <c r="F113" s="14"/>
      <c r="G113" s="27" t="str">
        <f t="shared" ref="G113:G136" si="27">IF(F113=0,"",F113/D113)</f>
        <v/>
      </c>
      <c r="H113" s="720" t="e">
        <f t="shared" si="11"/>
        <v>#VALUE!</v>
      </c>
      <c r="I113" s="36"/>
      <c r="J113" s="735"/>
      <c r="K113" s="36">
        <f t="shared" si="12"/>
        <v>0</v>
      </c>
      <c r="L113" s="728">
        <f t="shared" si="25"/>
        <v>0</v>
      </c>
      <c r="M113" s="746">
        <f t="shared" si="26"/>
        <v>0</v>
      </c>
      <c r="N113" s="35"/>
      <c r="O113" s="432">
        <v>5572.4760000000006</v>
      </c>
      <c r="S113" s="678" t="s">
        <v>279</v>
      </c>
      <c r="T113" s="693" t="str">
        <f t="shared" si="13"/>
        <v/>
      </c>
      <c r="U113" s="716" t="str">
        <f t="shared" si="14"/>
        <v/>
      </c>
    </row>
    <row r="114" spans="1:21" ht="12.75" x14ac:dyDescent="0.2">
      <c r="A114" s="482" t="s">
        <v>280</v>
      </c>
      <c r="B114" s="505" t="s">
        <v>281</v>
      </c>
      <c r="C114" s="622" t="s">
        <v>180</v>
      </c>
      <c r="D114" s="7">
        <v>0</v>
      </c>
      <c r="E114" s="32">
        <v>0</v>
      </c>
      <c r="F114" s="14"/>
      <c r="G114" s="27" t="str">
        <f t="shared" si="27"/>
        <v/>
      </c>
      <c r="H114" s="720" t="e">
        <f t="shared" si="11"/>
        <v>#VALUE!</v>
      </c>
      <c r="I114" s="36"/>
      <c r="J114" s="735"/>
      <c r="K114" s="36">
        <f t="shared" si="12"/>
        <v>0</v>
      </c>
      <c r="L114" s="728">
        <f t="shared" si="25"/>
        <v>0</v>
      </c>
      <c r="M114" s="746">
        <f t="shared" si="26"/>
        <v>0</v>
      </c>
      <c r="N114" s="35"/>
      <c r="O114" s="432">
        <v>5572.4760000000006</v>
      </c>
      <c r="S114" s="679" t="s">
        <v>282</v>
      </c>
      <c r="T114" s="693" t="str">
        <f t="shared" si="13"/>
        <v/>
      </c>
      <c r="U114" s="716" t="str">
        <f t="shared" si="14"/>
        <v/>
      </c>
    </row>
    <row r="115" spans="1:21" ht="12.75" x14ac:dyDescent="0.2">
      <c r="A115" s="482" t="s">
        <v>283</v>
      </c>
      <c r="B115" s="486" t="s">
        <v>284</v>
      </c>
      <c r="C115" s="617" t="s">
        <v>46</v>
      </c>
      <c r="D115" s="7">
        <v>0</v>
      </c>
      <c r="E115" s="32">
        <v>0</v>
      </c>
      <c r="F115" s="14"/>
      <c r="G115" s="27" t="str">
        <f t="shared" si="27"/>
        <v/>
      </c>
      <c r="H115" s="720" t="e">
        <f t="shared" si="11"/>
        <v>#VALUE!</v>
      </c>
      <c r="I115" s="36"/>
      <c r="J115" s="735"/>
      <c r="K115" s="36">
        <f t="shared" si="12"/>
        <v>0</v>
      </c>
      <c r="L115" s="728">
        <f t="shared" si="25"/>
        <v>0</v>
      </c>
      <c r="M115" s="746">
        <f t="shared" si="26"/>
        <v>0</v>
      </c>
      <c r="N115" s="35"/>
      <c r="O115" s="432">
        <v>229.04</v>
      </c>
      <c r="S115" s="667" t="s">
        <v>285</v>
      </c>
      <c r="T115" s="693" t="str">
        <f t="shared" si="13"/>
        <v/>
      </c>
      <c r="U115" s="716" t="str">
        <f t="shared" si="14"/>
        <v/>
      </c>
    </row>
    <row r="116" spans="1:21" ht="12.75" x14ac:dyDescent="0.2">
      <c r="A116" s="482" t="s">
        <v>286</v>
      </c>
      <c r="B116" s="486" t="s">
        <v>287</v>
      </c>
      <c r="C116" s="617" t="s">
        <v>46</v>
      </c>
      <c r="D116" s="7">
        <v>0</v>
      </c>
      <c r="E116" s="32">
        <v>0</v>
      </c>
      <c r="F116" s="14"/>
      <c r="G116" s="27" t="str">
        <f t="shared" si="27"/>
        <v/>
      </c>
      <c r="H116" s="720" t="e">
        <f t="shared" si="11"/>
        <v>#VALUE!</v>
      </c>
      <c r="I116" s="36"/>
      <c r="J116" s="735"/>
      <c r="K116" s="36">
        <f t="shared" si="12"/>
        <v>0</v>
      </c>
      <c r="L116" s="728">
        <f t="shared" si="25"/>
        <v>0</v>
      </c>
      <c r="M116" s="746">
        <f t="shared" si="26"/>
        <v>0</v>
      </c>
      <c r="N116" s="35"/>
      <c r="O116" s="432">
        <v>229.04</v>
      </c>
      <c r="S116" s="667" t="s">
        <v>288</v>
      </c>
      <c r="T116" s="693" t="str">
        <f t="shared" si="13"/>
        <v/>
      </c>
      <c r="U116" s="716" t="str">
        <f t="shared" si="14"/>
        <v/>
      </c>
    </row>
    <row r="117" spans="1:21" ht="12.75" x14ac:dyDescent="0.2">
      <c r="A117" s="482" t="s">
        <v>289</v>
      </c>
      <c r="B117" s="486" t="s">
        <v>290</v>
      </c>
      <c r="C117" s="617" t="s">
        <v>46</v>
      </c>
      <c r="D117" s="7">
        <v>0</v>
      </c>
      <c r="E117" s="32">
        <v>0</v>
      </c>
      <c r="F117" s="14"/>
      <c r="G117" s="27" t="str">
        <f t="shared" si="27"/>
        <v/>
      </c>
      <c r="H117" s="720" t="e">
        <f t="shared" si="11"/>
        <v>#VALUE!</v>
      </c>
      <c r="I117" s="36"/>
      <c r="J117" s="735"/>
      <c r="K117" s="36">
        <f t="shared" si="12"/>
        <v>0</v>
      </c>
      <c r="L117" s="728">
        <f t="shared" si="25"/>
        <v>0</v>
      </c>
      <c r="M117" s="746">
        <f t="shared" si="26"/>
        <v>0</v>
      </c>
      <c r="N117" s="35"/>
      <c r="O117" s="432">
        <v>144.04</v>
      </c>
      <c r="S117" s="667" t="s">
        <v>290</v>
      </c>
      <c r="T117" s="693" t="str">
        <f t="shared" si="13"/>
        <v/>
      </c>
      <c r="U117" s="716" t="str">
        <f t="shared" si="14"/>
        <v/>
      </c>
    </row>
    <row r="118" spans="1:21" ht="12.75" x14ac:dyDescent="0.2">
      <c r="A118" s="482" t="s">
        <v>291</v>
      </c>
      <c r="B118" s="487" t="s">
        <v>292</v>
      </c>
      <c r="C118" s="617" t="s">
        <v>46</v>
      </c>
      <c r="D118" s="7">
        <v>0</v>
      </c>
      <c r="E118" s="32">
        <v>0</v>
      </c>
      <c r="F118" s="14"/>
      <c r="G118" s="27" t="str">
        <f t="shared" si="27"/>
        <v/>
      </c>
      <c r="H118" s="720" t="e">
        <f t="shared" si="11"/>
        <v>#VALUE!</v>
      </c>
      <c r="I118" s="36"/>
      <c r="J118" s="735"/>
      <c r="K118" s="36">
        <f t="shared" si="12"/>
        <v>0</v>
      </c>
      <c r="L118" s="728">
        <f t="shared" si="25"/>
        <v>0</v>
      </c>
      <c r="M118" s="746">
        <f t="shared" si="26"/>
        <v>0</v>
      </c>
      <c r="N118" s="35"/>
      <c r="O118" s="432">
        <v>744.08</v>
      </c>
      <c r="S118" s="668" t="s">
        <v>292</v>
      </c>
      <c r="T118" s="693" t="str">
        <f t="shared" si="13"/>
        <v/>
      </c>
      <c r="U118" s="716" t="str">
        <f t="shared" si="14"/>
        <v/>
      </c>
    </row>
    <row r="119" spans="1:21" ht="12.75" x14ac:dyDescent="0.2">
      <c r="A119" s="482" t="s">
        <v>293</v>
      </c>
      <c r="B119" s="487" t="s">
        <v>294</v>
      </c>
      <c r="C119" s="617" t="s">
        <v>46</v>
      </c>
      <c r="D119" s="7">
        <v>0</v>
      </c>
      <c r="E119" s="32">
        <v>0</v>
      </c>
      <c r="F119" s="14"/>
      <c r="G119" s="27" t="str">
        <f t="shared" si="27"/>
        <v/>
      </c>
      <c r="H119" s="720" t="e">
        <f t="shared" si="11"/>
        <v>#VALUE!</v>
      </c>
      <c r="I119" s="36"/>
      <c r="J119" s="735"/>
      <c r="K119" s="36">
        <f t="shared" si="12"/>
        <v>0</v>
      </c>
      <c r="L119" s="728">
        <f t="shared" si="25"/>
        <v>0</v>
      </c>
      <c r="M119" s="746">
        <f t="shared" si="26"/>
        <v>0</v>
      </c>
      <c r="N119" s="35"/>
      <c r="O119" s="432">
        <v>1481.12</v>
      </c>
      <c r="S119" s="668" t="s">
        <v>294</v>
      </c>
      <c r="T119" s="693" t="str">
        <f t="shared" si="13"/>
        <v/>
      </c>
      <c r="U119" s="716" t="str">
        <f t="shared" si="14"/>
        <v/>
      </c>
    </row>
    <row r="120" spans="1:21" ht="12.75" x14ac:dyDescent="0.2">
      <c r="A120" s="482" t="s">
        <v>295</v>
      </c>
      <c r="B120" s="487" t="s">
        <v>296</v>
      </c>
      <c r="C120" s="617" t="s">
        <v>46</v>
      </c>
      <c r="D120" s="7">
        <v>0</v>
      </c>
      <c r="E120" s="32">
        <v>0</v>
      </c>
      <c r="F120" s="14"/>
      <c r="G120" s="27" t="str">
        <f t="shared" si="27"/>
        <v/>
      </c>
      <c r="H120" s="720" t="e">
        <f t="shared" si="11"/>
        <v>#VALUE!</v>
      </c>
      <c r="I120" s="36"/>
      <c r="J120" s="735"/>
      <c r="K120" s="36">
        <f t="shared" si="12"/>
        <v>0</v>
      </c>
      <c r="L120" s="728">
        <f t="shared" si="25"/>
        <v>0</v>
      </c>
      <c r="M120" s="746">
        <f t="shared" si="26"/>
        <v>0</v>
      </c>
      <c r="N120" s="35"/>
      <c r="O120" s="432">
        <v>744.08</v>
      </c>
      <c r="S120" s="668" t="s">
        <v>296</v>
      </c>
      <c r="T120" s="693" t="str">
        <f t="shared" si="13"/>
        <v/>
      </c>
      <c r="U120" s="716" t="str">
        <f t="shared" si="14"/>
        <v/>
      </c>
    </row>
    <row r="121" spans="1:21" ht="12.75" x14ac:dyDescent="0.2">
      <c r="A121" s="482" t="s">
        <v>297</v>
      </c>
      <c r="B121" s="487" t="s">
        <v>298</v>
      </c>
      <c r="C121" s="617" t="s">
        <v>46</v>
      </c>
      <c r="D121" s="7">
        <v>0</v>
      </c>
      <c r="E121" s="32">
        <v>0</v>
      </c>
      <c r="F121" s="14"/>
      <c r="G121" s="27" t="str">
        <f t="shared" si="27"/>
        <v/>
      </c>
      <c r="H121" s="720" t="e">
        <f t="shared" si="11"/>
        <v>#VALUE!</v>
      </c>
      <c r="I121" s="36"/>
      <c r="J121" s="735"/>
      <c r="K121" s="36">
        <f t="shared" si="12"/>
        <v>0</v>
      </c>
      <c r="L121" s="728">
        <f t="shared" si="25"/>
        <v>0</v>
      </c>
      <c r="M121" s="746">
        <f t="shared" si="26"/>
        <v>0</v>
      </c>
      <c r="N121" s="35"/>
      <c r="O121" s="432">
        <v>187.2</v>
      </c>
      <c r="S121" s="668" t="s">
        <v>298</v>
      </c>
      <c r="T121" s="693" t="str">
        <f t="shared" si="13"/>
        <v/>
      </c>
      <c r="U121" s="716" t="str">
        <f t="shared" si="14"/>
        <v/>
      </c>
    </row>
    <row r="122" spans="1:21" ht="12.75" x14ac:dyDescent="0.2">
      <c r="A122" s="482" t="s">
        <v>299</v>
      </c>
      <c r="B122" s="486" t="s">
        <v>300</v>
      </c>
      <c r="C122" s="617" t="s">
        <v>46</v>
      </c>
      <c r="D122" s="7">
        <v>0</v>
      </c>
      <c r="E122" s="32">
        <v>0</v>
      </c>
      <c r="F122" s="14"/>
      <c r="G122" s="27" t="str">
        <f t="shared" si="27"/>
        <v/>
      </c>
      <c r="H122" s="720" t="e">
        <f t="shared" si="11"/>
        <v>#VALUE!</v>
      </c>
      <c r="I122" s="36"/>
      <c r="J122" s="735"/>
      <c r="K122" s="36">
        <f t="shared" si="12"/>
        <v>0</v>
      </c>
      <c r="L122" s="728">
        <f t="shared" si="25"/>
        <v>0</v>
      </c>
      <c r="M122" s="746">
        <f t="shared" si="26"/>
        <v>0</v>
      </c>
      <c r="N122" s="35"/>
      <c r="O122" s="432">
        <v>288.04000000000002</v>
      </c>
      <c r="S122" s="667" t="s">
        <v>301</v>
      </c>
      <c r="T122" s="693" t="str">
        <f t="shared" si="13"/>
        <v/>
      </c>
      <c r="U122" s="716" t="str">
        <f t="shared" si="14"/>
        <v/>
      </c>
    </row>
    <row r="123" spans="1:21" ht="12.75" x14ac:dyDescent="0.2">
      <c r="A123" s="482" t="s">
        <v>302</v>
      </c>
      <c r="B123" s="489" t="s">
        <v>303</v>
      </c>
      <c r="C123" s="617" t="s">
        <v>46</v>
      </c>
      <c r="D123" s="7">
        <v>0</v>
      </c>
      <c r="E123" s="32">
        <v>0</v>
      </c>
      <c r="F123" s="14"/>
      <c r="G123" s="27" t="str">
        <f t="shared" si="27"/>
        <v/>
      </c>
      <c r="H123" s="720" t="e">
        <f t="shared" si="11"/>
        <v>#VALUE!</v>
      </c>
      <c r="I123" s="36"/>
      <c r="J123" s="735"/>
      <c r="K123" s="36">
        <f t="shared" si="12"/>
        <v>0</v>
      </c>
      <c r="L123" s="728">
        <f t="shared" si="25"/>
        <v>0</v>
      </c>
      <c r="M123" s="746">
        <f t="shared" si="26"/>
        <v>0</v>
      </c>
      <c r="N123" s="35"/>
      <c r="O123" s="432">
        <v>530.59</v>
      </c>
      <c r="S123" s="670" t="s">
        <v>304</v>
      </c>
      <c r="T123" s="693" t="str">
        <f t="shared" si="13"/>
        <v/>
      </c>
      <c r="U123" s="716" t="str">
        <f t="shared" si="14"/>
        <v/>
      </c>
    </row>
    <row r="124" spans="1:21" ht="12.75" x14ac:dyDescent="0.2">
      <c r="A124" s="482" t="s">
        <v>305</v>
      </c>
      <c r="B124" s="489" t="s">
        <v>306</v>
      </c>
      <c r="C124" s="617" t="s">
        <v>46</v>
      </c>
      <c r="D124" s="7">
        <v>0</v>
      </c>
      <c r="E124" s="517">
        <v>0</v>
      </c>
      <c r="F124" s="14"/>
      <c r="G124" s="27" t="str">
        <f t="shared" si="27"/>
        <v/>
      </c>
      <c r="H124" s="720" t="e">
        <f t="shared" si="11"/>
        <v>#VALUE!</v>
      </c>
      <c r="I124" s="36"/>
      <c r="J124" s="735"/>
      <c r="K124" s="36">
        <f t="shared" si="12"/>
        <v>0</v>
      </c>
      <c r="L124" s="728">
        <f t="shared" si="25"/>
        <v>0</v>
      </c>
      <c r="M124" s="746">
        <f>MIN(L124*O124,E124)</f>
        <v>0</v>
      </c>
      <c r="N124" s="35"/>
      <c r="O124" s="432">
        <v>68.2</v>
      </c>
      <c r="S124" s="670" t="s">
        <v>306</v>
      </c>
      <c r="T124" s="693" t="str">
        <f t="shared" si="13"/>
        <v/>
      </c>
      <c r="U124" s="716" t="str">
        <f t="shared" si="14"/>
        <v/>
      </c>
    </row>
    <row r="125" spans="1:21" ht="12.75" x14ac:dyDescent="0.2">
      <c r="A125" s="482" t="s">
        <v>307</v>
      </c>
      <c r="B125" s="498" t="s">
        <v>308</v>
      </c>
      <c r="C125" s="617" t="s">
        <v>46</v>
      </c>
      <c r="D125" s="7">
        <v>0</v>
      </c>
      <c r="E125" s="517">
        <v>0</v>
      </c>
      <c r="F125" s="14"/>
      <c r="G125" s="27" t="str">
        <f t="shared" si="27"/>
        <v/>
      </c>
      <c r="H125" s="720" t="e">
        <f t="shared" si="11"/>
        <v>#VALUE!</v>
      </c>
      <c r="I125" s="36"/>
      <c r="J125" s="735"/>
      <c r="K125" s="36">
        <f t="shared" si="12"/>
        <v>0</v>
      </c>
      <c r="L125" s="728">
        <f t="shared" si="25"/>
        <v>0</v>
      </c>
      <c r="M125" s="746">
        <f t="shared" si="26"/>
        <v>0</v>
      </c>
      <c r="N125" s="35"/>
      <c r="O125" s="432">
        <v>8161.56</v>
      </c>
      <c r="S125" s="678" t="s">
        <v>308</v>
      </c>
      <c r="T125" s="693" t="str">
        <f t="shared" si="13"/>
        <v/>
      </c>
      <c r="U125" s="716" t="str">
        <f t="shared" si="14"/>
        <v/>
      </c>
    </row>
    <row r="126" spans="1:21" ht="12.75" x14ac:dyDescent="0.2">
      <c r="A126" s="482" t="s">
        <v>309</v>
      </c>
      <c r="B126" s="498" t="s">
        <v>310</v>
      </c>
      <c r="C126" s="617" t="s">
        <v>46</v>
      </c>
      <c r="D126" s="7">
        <v>0</v>
      </c>
      <c r="E126" s="517">
        <v>0</v>
      </c>
      <c r="F126" s="14"/>
      <c r="G126" s="27" t="str">
        <f t="shared" si="27"/>
        <v/>
      </c>
      <c r="H126" s="720" t="e">
        <f t="shared" si="11"/>
        <v>#VALUE!</v>
      </c>
      <c r="I126" s="36"/>
      <c r="J126" s="735"/>
      <c r="K126" s="36">
        <f t="shared" si="12"/>
        <v>0</v>
      </c>
      <c r="L126" s="728">
        <f t="shared" si="25"/>
        <v>0</v>
      </c>
      <c r="M126" s="746">
        <f t="shared" si="26"/>
        <v>0</v>
      </c>
      <c r="N126" s="35"/>
      <c r="O126" s="432">
        <v>8161.56</v>
      </c>
      <c r="S126" s="678" t="s">
        <v>310</v>
      </c>
      <c r="T126" s="693" t="str">
        <f t="shared" si="13"/>
        <v/>
      </c>
      <c r="U126" s="716" t="str">
        <f t="shared" si="14"/>
        <v/>
      </c>
    </row>
    <row r="127" spans="1:21" ht="12.75" x14ac:dyDescent="0.2">
      <c r="A127" s="482" t="s">
        <v>311</v>
      </c>
      <c r="B127" s="498" t="s">
        <v>312</v>
      </c>
      <c r="C127" s="617" t="s">
        <v>46</v>
      </c>
      <c r="D127" s="7">
        <v>0</v>
      </c>
      <c r="E127" s="517">
        <v>0</v>
      </c>
      <c r="F127" s="14"/>
      <c r="G127" s="27" t="str">
        <f t="shared" si="27"/>
        <v/>
      </c>
      <c r="H127" s="720" t="e">
        <f t="shared" si="11"/>
        <v>#VALUE!</v>
      </c>
      <c r="I127" s="36"/>
      <c r="J127" s="735"/>
      <c r="K127" s="36">
        <f t="shared" si="12"/>
        <v>0</v>
      </c>
      <c r="L127" s="728">
        <f t="shared" si="25"/>
        <v>0</v>
      </c>
      <c r="M127" s="746">
        <f t="shared" si="26"/>
        <v>0</v>
      </c>
      <c r="N127" s="35"/>
      <c r="O127" s="432">
        <v>1411.8084000000001</v>
      </c>
      <c r="S127" s="678" t="s">
        <v>312</v>
      </c>
      <c r="T127" s="693" t="str">
        <f t="shared" si="13"/>
        <v/>
      </c>
      <c r="U127" s="716" t="str">
        <f t="shared" si="14"/>
        <v/>
      </c>
    </row>
    <row r="128" spans="1:21" ht="12.75" x14ac:dyDescent="0.2">
      <c r="A128" s="482" t="s">
        <v>313</v>
      </c>
      <c r="B128" s="489" t="s">
        <v>314</v>
      </c>
      <c r="C128" s="617" t="s">
        <v>46</v>
      </c>
      <c r="D128" s="7">
        <v>0</v>
      </c>
      <c r="E128" s="517">
        <v>0</v>
      </c>
      <c r="F128" s="14"/>
      <c r="G128" s="27" t="str">
        <f t="shared" si="27"/>
        <v/>
      </c>
      <c r="H128" s="720" t="e">
        <f t="shared" si="11"/>
        <v>#VALUE!</v>
      </c>
      <c r="I128" s="36"/>
      <c r="J128" s="735"/>
      <c r="K128" s="36">
        <f t="shared" si="12"/>
        <v>0</v>
      </c>
      <c r="L128" s="728">
        <f t="shared" si="25"/>
        <v>0</v>
      </c>
      <c r="M128" s="746">
        <f t="shared" si="26"/>
        <v>0</v>
      </c>
      <c r="N128" s="35"/>
      <c r="O128" s="432">
        <v>129.60000000000002</v>
      </c>
      <c r="S128" s="670" t="s">
        <v>314</v>
      </c>
      <c r="T128" s="693" t="str">
        <f t="shared" si="13"/>
        <v/>
      </c>
      <c r="U128" s="716" t="str">
        <f t="shared" si="14"/>
        <v/>
      </c>
    </row>
    <row r="129" spans="1:21" ht="12.75" x14ac:dyDescent="0.2">
      <c r="A129" s="482" t="s">
        <v>315</v>
      </c>
      <c r="B129" s="489" t="s">
        <v>316</v>
      </c>
      <c r="C129" s="614" t="s">
        <v>33</v>
      </c>
      <c r="D129" s="7">
        <v>0</v>
      </c>
      <c r="E129" s="32">
        <v>0</v>
      </c>
      <c r="F129" s="14"/>
      <c r="G129" s="27" t="str">
        <f t="shared" si="27"/>
        <v/>
      </c>
      <c r="H129" s="720" t="e">
        <f t="shared" si="11"/>
        <v>#VALUE!</v>
      </c>
      <c r="I129" s="36"/>
      <c r="J129" s="735"/>
      <c r="K129" s="36">
        <f t="shared" si="12"/>
        <v>0</v>
      </c>
      <c r="L129" s="728">
        <f t="shared" si="25"/>
        <v>0</v>
      </c>
      <c r="M129" s="746">
        <f t="shared" si="26"/>
        <v>0</v>
      </c>
      <c r="N129" s="35"/>
      <c r="O129" s="432">
        <v>2499</v>
      </c>
      <c r="S129" s="670" t="s">
        <v>317</v>
      </c>
      <c r="T129" s="693" t="str">
        <f t="shared" si="13"/>
        <v/>
      </c>
      <c r="U129" s="716" t="str">
        <f t="shared" si="14"/>
        <v/>
      </c>
    </row>
    <row r="130" spans="1:21" ht="13.5" thickBot="1" x14ac:dyDescent="0.25">
      <c r="A130" s="490" t="s">
        <v>318</v>
      </c>
      <c r="B130" s="487" t="s">
        <v>319</v>
      </c>
      <c r="C130" s="612" t="s">
        <v>26</v>
      </c>
      <c r="D130" s="454">
        <v>0</v>
      </c>
      <c r="E130" s="455">
        <v>0</v>
      </c>
      <c r="F130" s="14"/>
      <c r="G130" s="27" t="str">
        <f t="shared" si="27"/>
        <v/>
      </c>
      <c r="H130" s="720" t="e">
        <f t="shared" si="11"/>
        <v>#VALUE!</v>
      </c>
      <c r="I130" s="36"/>
      <c r="J130" s="735"/>
      <c r="K130" s="36">
        <f t="shared" si="12"/>
        <v>0</v>
      </c>
      <c r="L130" s="728">
        <f t="shared" si="25"/>
        <v>0</v>
      </c>
      <c r="M130" s="746">
        <f t="shared" si="26"/>
        <v>0</v>
      </c>
      <c r="N130" s="35"/>
      <c r="O130" s="432">
        <v>560</v>
      </c>
      <c r="S130" s="668" t="s">
        <v>320</v>
      </c>
      <c r="T130" s="693" t="str">
        <f t="shared" si="13"/>
        <v/>
      </c>
      <c r="U130" s="716" t="str">
        <f t="shared" si="14"/>
        <v/>
      </c>
    </row>
    <row r="131" spans="1:21" ht="12.75" x14ac:dyDescent="0.2">
      <c r="A131" s="537" t="s">
        <v>321</v>
      </c>
      <c r="B131" s="538" t="s">
        <v>322</v>
      </c>
      <c r="C131" s="623"/>
      <c r="D131" s="636"/>
      <c r="E131" s="524">
        <v>0</v>
      </c>
      <c r="F131" s="452"/>
      <c r="G131" s="446"/>
      <c r="H131" s="748"/>
      <c r="I131" s="447"/>
      <c r="J131" s="737"/>
      <c r="K131" s="749"/>
      <c r="L131" s="730"/>
      <c r="M131" s="750">
        <f>MIN((L132*O132)+(L133*O133),E131)</f>
        <v>0</v>
      </c>
      <c r="N131" s="35"/>
      <c r="O131" s="427"/>
      <c r="S131" s="680" t="s">
        <v>323</v>
      </c>
      <c r="T131" s="693" t="str">
        <f t="shared" si="13"/>
        <v/>
      </c>
      <c r="U131" s="716" t="str">
        <f t="shared" si="14"/>
        <v/>
      </c>
    </row>
    <row r="132" spans="1:21" ht="12.75" x14ac:dyDescent="0.2">
      <c r="A132" s="539" t="s">
        <v>321</v>
      </c>
      <c r="B132" s="499" t="s">
        <v>324</v>
      </c>
      <c r="C132" s="617" t="s">
        <v>46</v>
      </c>
      <c r="D132" s="7">
        <v>0</v>
      </c>
      <c r="E132" s="637"/>
      <c r="F132" s="453"/>
      <c r="G132" s="27" t="str">
        <f t="shared" si="27"/>
        <v/>
      </c>
      <c r="H132" s="720" t="e">
        <f t="shared" si="11"/>
        <v>#VALUE!</v>
      </c>
      <c r="I132" s="36"/>
      <c r="J132" s="735"/>
      <c r="K132" s="36">
        <f t="shared" si="12"/>
        <v>0</v>
      </c>
      <c r="L132" s="728">
        <f t="shared" si="25"/>
        <v>0</v>
      </c>
      <c r="M132" s="747"/>
      <c r="N132" s="35"/>
      <c r="O132" s="432">
        <v>7434.28</v>
      </c>
      <c r="S132" s="675"/>
      <c r="T132" s="693" t="str">
        <f t="shared" si="13"/>
        <v/>
      </c>
      <c r="U132" s="716" t="str">
        <f t="shared" si="14"/>
        <v/>
      </c>
    </row>
    <row r="133" spans="1:21" ht="13.5" thickBot="1" x14ac:dyDescent="0.25">
      <c r="A133" s="540" t="s">
        <v>321</v>
      </c>
      <c r="B133" s="533" t="s">
        <v>325</v>
      </c>
      <c r="C133" s="619" t="s">
        <v>169</v>
      </c>
      <c r="D133" s="528">
        <v>0</v>
      </c>
      <c r="E133" s="638"/>
      <c r="F133" s="453"/>
      <c r="G133" s="27" t="str">
        <f t="shared" si="27"/>
        <v/>
      </c>
      <c r="H133" s="720" t="e">
        <f t="shared" si="11"/>
        <v>#VALUE!</v>
      </c>
      <c r="I133" s="36"/>
      <c r="J133" s="735"/>
      <c r="K133" s="36">
        <f t="shared" si="12"/>
        <v>0</v>
      </c>
      <c r="L133" s="728">
        <f t="shared" si="25"/>
        <v>0</v>
      </c>
      <c r="M133" s="747"/>
      <c r="N133" s="35"/>
      <c r="O133" s="432">
        <v>99.12</v>
      </c>
      <c r="S133" s="681"/>
      <c r="T133" s="693" t="str">
        <f t="shared" si="13"/>
        <v/>
      </c>
      <c r="U133" s="716" t="str">
        <f t="shared" si="14"/>
        <v/>
      </c>
    </row>
    <row r="134" spans="1:21" ht="12.75" x14ac:dyDescent="0.2">
      <c r="A134" s="541" t="s">
        <v>326</v>
      </c>
      <c r="B134" s="499" t="s">
        <v>327</v>
      </c>
      <c r="C134" s="620"/>
      <c r="D134" s="639"/>
      <c r="E134" s="542">
        <v>0</v>
      </c>
      <c r="F134" s="465"/>
      <c r="G134" s="448"/>
      <c r="H134" s="748"/>
      <c r="I134" s="449"/>
      <c r="J134" s="740"/>
      <c r="K134" s="749"/>
      <c r="L134" s="733"/>
      <c r="M134" s="750">
        <f>MIN((L135*O135)+(L136*O136),E134)</f>
        <v>0</v>
      </c>
      <c r="N134" s="35"/>
      <c r="O134" s="427"/>
      <c r="S134" s="676" t="s">
        <v>328</v>
      </c>
      <c r="T134" s="693" t="str">
        <f t="shared" si="13"/>
        <v/>
      </c>
      <c r="U134" s="716" t="str">
        <f t="shared" si="14"/>
        <v/>
      </c>
    </row>
    <row r="135" spans="1:21" ht="12.75" x14ac:dyDescent="0.2">
      <c r="A135" s="507" t="s">
        <v>326</v>
      </c>
      <c r="B135" s="499" t="s">
        <v>329</v>
      </c>
      <c r="C135" s="617" t="s">
        <v>46</v>
      </c>
      <c r="D135" s="7">
        <v>0</v>
      </c>
      <c r="E135" s="640"/>
      <c r="F135" s="453"/>
      <c r="G135" s="27" t="str">
        <f t="shared" si="27"/>
        <v/>
      </c>
      <c r="H135" s="720" t="e">
        <f t="shared" si="11"/>
        <v>#VALUE!</v>
      </c>
      <c r="I135" s="36"/>
      <c r="J135" s="735"/>
      <c r="K135" s="36">
        <f t="shared" si="12"/>
        <v>0</v>
      </c>
      <c r="L135" s="728">
        <f t="shared" si="25"/>
        <v>0</v>
      </c>
      <c r="M135" s="747"/>
      <c r="N135" s="35"/>
      <c r="O135" s="432">
        <v>9593.5499999999993</v>
      </c>
      <c r="S135" s="675"/>
      <c r="T135" s="693" t="str">
        <f t="shared" si="13"/>
        <v/>
      </c>
      <c r="U135" s="716" t="str">
        <f t="shared" si="14"/>
        <v/>
      </c>
    </row>
    <row r="136" spans="1:21" ht="13.5" thickBot="1" x14ac:dyDescent="0.25">
      <c r="A136" s="508" t="s">
        <v>326</v>
      </c>
      <c r="B136" s="499" t="s">
        <v>330</v>
      </c>
      <c r="C136" s="619" t="s">
        <v>169</v>
      </c>
      <c r="D136" s="7">
        <v>0</v>
      </c>
      <c r="E136" s="641"/>
      <c r="F136" s="453"/>
      <c r="G136" s="27" t="str">
        <f t="shared" si="27"/>
        <v/>
      </c>
      <c r="H136" s="720" t="e">
        <f t="shared" si="11"/>
        <v>#VALUE!</v>
      </c>
      <c r="I136" s="36"/>
      <c r="J136" s="735"/>
      <c r="K136" s="36">
        <f t="shared" si="12"/>
        <v>0</v>
      </c>
      <c r="L136" s="728">
        <f t="shared" si="25"/>
        <v>0</v>
      </c>
      <c r="M136" s="747"/>
      <c r="N136" s="35"/>
      <c r="O136" s="432">
        <v>76.75</v>
      </c>
      <c r="S136" s="675"/>
      <c r="T136" s="693" t="str">
        <f t="shared" si="13"/>
        <v/>
      </c>
      <c r="U136" s="716" t="str">
        <f t="shared" si="14"/>
        <v/>
      </c>
    </row>
    <row r="137" spans="1:21" ht="25.5" x14ac:dyDescent="0.2">
      <c r="A137" s="506" t="s">
        <v>331</v>
      </c>
      <c r="B137" s="492" t="s">
        <v>332</v>
      </c>
      <c r="C137" s="624" t="s">
        <v>102</v>
      </c>
      <c r="D137" s="518">
        <v>0</v>
      </c>
      <c r="E137" s="457">
        <v>0</v>
      </c>
      <c r="F137" s="453"/>
      <c r="G137" s="27" t="str">
        <f>IF(F137=0,"",F137/D137)</f>
        <v/>
      </c>
      <c r="H137" s="720" t="e">
        <f t="shared" si="11"/>
        <v>#VALUE!</v>
      </c>
      <c r="I137" s="36"/>
      <c r="J137" s="735"/>
      <c r="K137" s="36">
        <f t="shared" si="12"/>
        <v>0</v>
      </c>
      <c r="L137" s="728">
        <f>MIN(D137,F137,I137)</f>
        <v>0</v>
      </c>
      <c r="M137" s="746">
        <f t="shared" ref="M137:M141" si="28">MIN(L137*O137,E137)</f>
        <v>0</v>
      </c>
      <c r="N137" s="35"/>
      <c r="O137" s="432">
        <v>689.59</v>
      </c>
      <c r="S137" s="682" t="s">
        <v>333</v>
      </c>
      <c r="T137" s="693" t="str">
        <f t="shared" si="13"/>
        <v/>
      </c>
      <c r="U137" s="716" t="str">
        <f t="shared" si="14"/>
        <v/>
      </c>
    </row>
    <row r="138" spans="1:21" ht="12.75" x14ac:dyDescent="0.2">
      <c r="A138" s="507" t="s">
        <v>334</v>
      </c>
      <c r="B138" s="521" t="s">
        <v>335</v>
      </c>
      <c r="C138" s="622" t="s">
        <v>336</v>
      </c>
      <c r="D138" s="7">
        <v>0</v>
      </c>
      <c r="E138" s="519">
        <v>0</v>
      </c>
      <c r="F138" s="453"/>
      <c r="G138" s="27" t="str">
        <f>IF(F138=0,"",F138/D138)</f>
        <v/>
      </c>
      <c r="H138" s="720" t="e">
        <f t="shared" si="11"/>
        <v>#VALUE!</v>
      </c>
      <c r="I138" s="36"/>
      <c r="J138" s="735"/>
      <c r="K138" s="36">
        <f t="shared" si="12"/>
        <v>0</v>
      </c>
      <c r="L138" s="728">
        <f>MIN(D138,F138,I138)</f>
        <v>0</v>
      </c>
      <c r="M138" s="746">
        <f t="shared" si="28"/>
        <v>0</v>
      </c>
      <c r="N138" s="35"/>
      <c r="O138" s="432">
        <v>8828.25</v>
      </c>
      <c r="S138" s="679" t="s">
        <v>337</v>
      </c>
      <c r="T138" s="693" t="str">
        <f t="shared" si="13"/>
        <v/>
      </c>
      <c r="U138" s="716" t="str">
        <f t="shared" si="14"/>
        <v/>
      </c>
    </row>
    <row r="139" spans="1:21" ht="12.75" x14ac:dyDescent="0.2">
      <c r="A139" s="507" t="s">
        <v>338</v>
      </c>
      <c r="B139" s="521" t="s">
        <v>339</v>
      </c>
      <c r="C139" s="622" t="s">
        <v>336</v>
      </c>
      <c r="D139" s="7">
        <v>0</v>
      </c>
      <c r="E139" s="519">
        <v>0</v>
      </c>
      <c r="F139" s="453"/>
      <c r="G139" s="27" t="str">
        <f>IF(F139=0,"",F139/D139)</f>
        <v/>
      </c>
      <c r="H139" s="720" t="e">
        <f t="shared" ref="H139:H177" si="29">F139*G139</f>
        <v>#VALUE!</v>
      </c>
      <c r="I139" s="36"/>
      <c r="J139" s="735"/>
      <c r="K139" s="36">
        <f t="shared" ref="K139:K177" si="30">I139*J139</f>
        <v>0</v>
      </c>
      <c r="L139" s="728">
        <f>MIN(D139,F139,I139)</f>
        <v>0</v>
      </c>
      <c r="M139" s="746">
        <f t="shared" si="28"/>
        <v>0</v>
      </c>
      <c r="N139" s="35"/>
      <c r="O139" s="432">
        <v>14343.93</v>
      </c>
      <c r="S139" s="679" t="s">
        <v>340</v>
      </c>
      <c r="T139" s="693" t="str">
        <f t="shared" ref="T139:T142" si="31">IF(M139&gt;0, S139, "")</f>
        <v/>
      </c>
      <c r="U139" s="716" t="str">
        <f t="shared" ref="U139:U177" si="32">IF(M139&gt;0, M139, "")</f>
        <v/>
      </c>
    </row>
    <row r="140" spans="1:21" ht="12.75" x14ac:dyDescent="0.2">
      <c r="A140" s="507" t="s">
        <v>341</v>
      </c>
      <c r="B140" s="521" t="s">
        <v>342</v>
      </c>
      <c r="C140" s="622" t="s">
        <v>336</v>
      </c>
      <c r="D140" s="7">
        <v>0</v>
      </c>
      <c r="E140" s="519">
        <v>0</v>
      </c>
      <c r="F140" s="453"/>
      <c r="G140" s="27" t="str">
        <f>IF(F140=0,"",F140/D140)</f>
        <v/>
      </c>
      <c r="H140" s="720" t="e">
        <f t="shared" si="29"/>
        <v>#VALUE!</v>
      </c>
      <c r="I140" s="36"/>
      <c r="J140" s="735"/>
      <c r="K140" s="36">
        <f t="shared" si="30"/>
        <v>0</v>
      </c>
      <c r="L140" s="728">
        <f>MIN(D140,F140,I140)</f>
        <v>0</v>
      </c>
      <c r="M140" s="746">
        <f t="shared" si="28"/>
        <v>0</v>
      </c>
      <c r="N140" s="35"/>
      <c r="O140" s="432">
        <v>21750.03</v>
      </c>
      <c r="S140" s="679" t="s">
        <v>343</v>
      </c>
      <c r="T140" s="693" t="str">
        <f t="shared" si="31"/>
        <v/>
      </c>
      <c r="U140" s="716" t="str">
        <f t="shared" si="32"/>
        <v/>
      </c>
    </row>
    <row r="141" spans="1:21" ht="13.5" thickBot="1" x14ac:dyDescent="0.25">
      <c r="A141" s="508" t="s">
        <v>344</v>
      </c>
      <c r="B141" s="521" t="s">
        <v>345</v>
      </c>
      <c r="C141" s="622" t="s">
        <v>336</v>
      </c>
      <c r="D141" s="454">
        <v>0</v>
      </c>
      <c r="E141" s="557">
        <v>0</v>
      </c>
      <c r="F141" s="453"/>
      <c r="G141" s="27" t="str">
        <f>IF(F141=0,"",F141/D141)</f>
        <v/>
      </c>
      <c r="H141" s="720" t="e">
        <f t="shared" si="29"/>
        <v>#VALUE!</v>
      </c>
      <c r="I141" s="36"/>
      <c r="J141" s="735"/>
      <c r="K141" s="36">
        <f t="shared" si="30"/>
        <v>0</v>
      </c>
      <c r="L141" s="728">
        <f>MIN(D141,F141,I141)</f>
        <v>0</v>
      </c>
      <c r="M141" s="746">
        <f t="shared" si="28"/>
        <v>0</v>
      </c>
      <c r="N141" s="35"/>
      <c r="O141" s="432">
        <v>44690.1</v>
      </c>
      <c r="S141" s="679" t="s">
        <v>346</v>
      </c>
      <c r="T141" s="693" t="str">
        <f t="shared" si="31"/>
        <v/>
      </c>
      <c r="U141" s="716" t="str">
        <f t="shared" si="32"/>
        <v/>
      </c>
    </row>
    <row r="142" spans="1:21" ht="26.25" customHeight="1" x14ac:dyDescent="0.2">
      <c r="A142" s="554" t="s">
        <v>347</v>
      </c>
      <c r="B142" s="543" t="s">
        <v>348</v>
      </c>
      <c r="C142" s="625"/>
      <c r="D142" s="555"/>
      <c r="E142" s="524">
        <v>0</v>
      </c>
      <c r="F142" s="466"/>
      <c r="G142" s="450"/>
      <c r="H142" s="748"/>
      <c r="I142" s="451"/>
      <c r="J142" s="741"/>
      <c r="K142" s="749"/>
      <c r="L142" s="734"/>
      <c r="M142" s="750">
        <f>MIN((L143*O143)+(L144*O144),E142)</f>
        <v>0</v>
      </c>
      <c r="N142" s="35"/>
      <c r="O142" s="433"/>
      <c r="S142" s="683" t="s">
        <v>349</v>
      </c>
      <c r="T142" s="693" t="str">
        <f t="shared" si="31"/>
        <v/>
      </c>
      <c r="U142" s="716" t="str">
        <f t="shared" si="32"/>
        <v/>
      </c>
    </row>
    <row r="143" spans="1:21" ht="25.5" x14ac:dyDescent="0.2">
      <c r="A143" s="556" t="s">
        <v>347</v>
      </c>
      <c r="B143" s="520" t="s">
        <v>350</v>
      </c>
      <c r="C143" s="617" t="s">
        <v>46</v>
      </c>
      <c r="D143" s="7">
        <v>0</v>
      </c>
      <c r="E143" s="546"/>
      <c r="F143" s="453"/>
      <c r="G143" s="27" t="str">
        <f t="shared" ref="G143:G144" si="33">IF(F143=0,"",F143/D143)</f>
        <v/>
      </c>
      <c r="H143" s="720" t="e">
        <f t="shared" si="29"/>
        <v>#VALUE!</v>
      </c>
      <c r="I143" s="36"/>
      <c r="J143" s="735"/>
      <c r="K143" s="36">
        <f t="shared" si="30"/>
        <v>0</v>
      </c>
      <c r="L143" s="728">
        <f t="shared" ref="L143:L144" si="34">MIN(D143,F143,I143)</f>
        <v>0</v>
      </c>
      <c r="M143" s="747"/>
      <c r="N143" s="424"/>
      <c r="O143" s="428">
        <v>14344</v>
      </c>
      <c r="S143" s="684"/>
      <c r="T143" s="693" t="str">
        <f>IF(M143&gt;0, S143, "")</f>
        <v/>
      </c>
      <c r="U143" s="716" t="str">
        <f t="shared" si="32"/>
        <v/>
      </c>
    </row>
    <row r="144" spans="1:21" ht="26.25" thickBot="1" x14ac:dyDescent="0.25">
      <c r="A144" s="560" t="s">
        <v>347</v>
      </c>
      <c r="B144" s="520" t="s">
        <v>351</v>
      </c>
      <c r="C144" s="619" t="s">
        <v>169</v>
      </c>
      <c r="D144" s="454">
        <v>0</v>
      </c>
      <c r="E144" s="553"/>
      <c r="F144" s="453"/>
      <c r="G144" s="27" t="str">
        <f t="shared" si="33"/>
        <v/>
      </c>
      <c r="H144" s="720" t="e">
        <f t="shared" si="29"/>
        <v>#VALUE!</v>
      </c>
      <c r="I144" s="36"/>
      <c r="J144" s="735"/>
      <c r="K144" s="36">
        <f t="shared" si="30"/>
        <v>0</v>
      </c>
      <c r="L144" s="728">
        <f t="shared" si="34"/>
        <v>0</v>
      </c>
      <c r="M144" s="747"/>
      <c r="N144" s="424"/>
      <c r="O144" s="428">
        <v>286.88</v>
      </c>
      <c r="S144" s="684"/>
      <c r="T144" s="693" t="str">
        <f t="shared" ref="T144:T177" si="35">IF(M144&gt;0, S144, "")</f>
        <v/>
      </c>
      <c r="U144" s="716" t="str">
        <f t="shared" si="32"/>
        <v/>
      </c>
    </row>
    <row r="145" spans="1:21" ht="25.5" x14ac:dyDescent="0.2">
      <c r="A145" s="554" t="s">
        <v>352</v>
      </c>
      <c r="B145" s="543" t="s">
        <v>353</v>
      </c>
      <c r="C145" s="625"/>
      <c r="D145" s="545"/>
      <c r="E145" s="524">
        <v>0</v>
      </c>
      <c r="F145" s="466"/>
      <c r="G145" s="450"/>
      <c r="H145" s="748"/>
      <c r="I145" s="451"/>
      <c r="J145" s="741"/>
      <c r="K145" s="749"/>
      <c r="L145" s="734"/>
      <c r="M145" s="750">
        <f>MIN((L146*O146)+(L147*O147),E145)</f>
        <v>0</v>
      </c>
      <c r="N145" s="424"/>
      <c r="O145" s="434"/>
      <c r="S145" s="683" t="s">
        <v>354</v>
      </c>
      <c r="T145" s="693" t="str">
        <f t="shared" si="35"/>
        <v/>
      </c>
      <c r="U145" s="716" t="str">
        <f t="shared" si="32"/>
        <v/>
      </c>
    </row>
    <row r="146" spans="1:21" ht="25.5" x14ac:dyDescent="0.2">
      <c r="A146" s="558" t="s">
        <v>352</v>
      </c>
      <c r="B146" s="520" t="s">
        <v>355</v>
      </c>
      <c r="C146" s="617" t="s">
        <v>46</v>
      </c>
      <c r="D146" s="7">
        <v>0</v>
      </c>
      <c r="E146" s="546"/>
      <c r="F146" s="453"/>
      <c r="G146" s="27" t="str">
        <f t="shared" ref="G146:G147" si="36">IF(F146=0,"",F146/D146)</f>
        <v/>
      </c>
      <c r="H146" s="720" t="e">
        <f t="shared" si="29"/>
        <v>#VALUE!</v>
      </c>
      <c r="I146" s="36"/>
      <c r="J146" s="735"/>
      <c r="K146" s="36">
        <f t="shared" si="30"/>
        <v>0</v>
      </c>
      <c r="L146" s="728">
        <f t="shared" ref="L146:L147" si="37">MIN(D146,F146,I146)</f>
        <v>0</v>
      </c>
      <c r="M146" s="747"/>
      <c r="N146" s="424"/>
      <c r="O146" s="428">
        <v>30932</v>
      </c>
      <c r="S146" s="684"/>
      <c r="T146" s="693" t="str">
        <f t="shared" si="35"/>
        <v/>
      </c>
      <c r="U146" s="716" t="str">
        <f t="shared" si="32"/>
        <v/>
      </c>
    </row>
    <row r="147" spans="1:21" ht="26.25" thickBot="1" x14ac:dyDescent="0.25">
      <c r="A147" s="559" t="s">
        <v>352</v>
      </c>
      <c r="B147" s="544" t="s">
        <v>356</v>
      </c>
      <c r="C147" s="619" t="s">
        <v>169</v>
      </c>
      <c r="D147" s="528">
        <v>0</v>
      </c>
      <c r="E147" s="549"/>
      <c r="F147" s="453"/>
      <c r="G147" s="27" t="str">
        <f t="shared" si="36"/>
        <v/>
      </c>
      <c r="H147" s="720" t="e">
        <f t="shared" si="29"/>
        <v>#VALUE!</v>
      </c>
      <c r="I147" s="36"/>
      <c r="J147" s="735"/>
      <c r="K147" s="36">
        <f t="shared" si="30"/>
        <v>0</v>
      </c>
      <c r="L147" s="728">
        <f t="shared" si="37"/>
        <v>0</v>
      </c>
      <c r="M147" s="747"/>
      <c r="N147" s="424"/>
      <c r="O147" s="428">
        <v>309.32</v>
      </c>
      <c r="S147" s="685"/>
      <c r="T147" s="693" t="str">
        <f t="shared" si="35"/>
        <v/>
      </c>
      <c r="U147" s="716" t="str">
        <f t="shared" si="32"/>
        <v/>
      </c>
    </row>
    <row r="148" spans="1:21" ht="26.25" customHeight="1" x14ac:dyDescent="0.2">
      <c r="A148" s="561" t="s">
        <v>357</v>
      </c>
      <c r="B148" s="520" t="s">
        <v>358</v>
      </c>
      <c r="C148" s="626"/>
      <c r="D148" s="639"/>
      <c r="E148" s="530">
        <v>0</v>
      </c>
      <c r="F148" s="466"/>
      <c r="G148" s="450"/>
      <c r="H148" s="748"/>
      <c r="I148" s="451"/>
      <c r="J148" s="741"/>
      <c r="K148" s="749"/>
      <c r="L148" s="734"/>
      <c r="M148" s="750">
        <f>MIN((L149*O149)+(L150*O150),E148)</f>
        <v>0</v>
      </c>
      <c r="N148" s="424"/>
      <c r="O148" s="434"/>
      <c r="S148" s="686" t="s">
        <v>359</v>
      </c>
      <c r="T148" s="693" t="str">
        <f t="shared" si="35"/>
        <v/>
      </c>
      <c r="U148" s="716" t="str">
        <f t="shared" si="32"/>
        <v/>
      </c>
    </row>
    <row r="149" spans="1:21" ht="25.5" x14ac:dyDescent="0.2">
      <c r="A149" s="539" t="s">
        <v>357</v>
      </c>
      <c r="B149" s="520" t="s">
        <v>360</v>
      </c>
      <c r="C149" s="617" t="s">
        <v>46</v>
      </c>
      <c r="D149" s="7">
        <v>0</v>
      </c>
      <c r="E149" s="637"/>
      <c r="F149" s="453"/>
      <c r="G149" s="27" t="str">
        <f t="shared" ref="G149:G150" si="38">IF(F149=0,"",F149/D149)</f>
        <v/>
      </c>
      <c r="H149" s="720" t="e">
        <f t="shared" si="29"/>
        <v>#VALUE!</v>
      </c>
      <c r="I149" s="36"/>
      <c r="J149" s="735"/>
      <c r="K149" s="36">
        <f t="shared" si="30"/>
        <v>0</v>
      </c>
      <c r="L149" s="728">
        <f t="shared" ref="L149:L150" si="39">MIN(D149,F149,I149)</f>
        <v>0</v>
      </c>
      <c r="M149" s="747"/>
      <c r="N149" s="424"/>
      <c r="O149" s="428">
        <v>44053</v>
      </c>
      <c r="S149" s="684"/>
      <c r="T149" s="693" t="str">
        <f t="shared" si="35"/>
        <v/>
      </c>
      <c r="U149" s="716" t="str">
        <f t="shared" si="32"/>
        <v/>
      </c>
    </row>
    <row r="150" spans="1:21" ht="26.25" thickBot="1" x14ac:dyDescent="0.25">
      <c r="A150" s="540" t="s">
        <v>357</v>
      </c>
      <c r="B150" s="544" t="s">
        <v>361</v>
      </c>
      <c r="C150" s="619" t="s">
        <v>169</v>
      </c>
      <c r="D150" s="528">
        <v>0</v>
      </c>
      <c r="E150" s="638"/>
      <c r="F150" s="453"/>
      <c r="G150" s="27" t="str">
        <f t="shared" si="38"/>
        <v/>
      </c>
      <c r="H150" s="720" t="e">
        <f t="shared" si="29"/>
        <v>#VALUE!</v>
      </c>
      <c r="I150" s="36"/>
      <c r="J150" s="735"/>
      <c r="K150" s="36">
        <f t="shared" si="30"/>
        <v>0</v>
      </c>
      <c r="L150" s="728">
        <f t="shared" si="39"/>
        <v>0</v>
      </c>
      <c r="M150" s="747"/>
      <c r="N150" s="424"/>
      <c r="O150" s="428">
        <v>293.68</v>
      </c>
      <c r="S150" s="685"/>
      <c r="T150" s="693" t="str">
        <f t="shared" si="35"/>
        <v/>
      </c>
      <c r="U150" s="716" t="str">
        <f t="shared" si="32"/>
        <v/>
      </c>
    </row>
    <row r="151" spans="1:21" ht="12.75" x14ac:dyDescent="0.2">
      <c r="A151" s="497" t="s">
        <v>362</v>
      </c>
      <c r="B151" s="505" t="s">
        <v>363</v>
      </c>
      <c r="C151" s="622" t="s">
        <v>46</v>
      </c>
      <c r="D151" s="459">
        <v>0</v>
      </c>
      <c r="E151" s="456">
        <v>0</v>
      </c>
      <c r="F151" s="14"/>
      <c r="G151" s="27" t="str">
        <f t="shared" ref="G151:G163" si="40">IF(F151=0,"",F151/D151)</f>
        <v/>
      </c>
      <c r="H151" s="720" t="e">
        <f t="shared" si="29"/>
        <v>#VALUE!</v>
      </c>
      <c r="I151" s="36"/>
      <c r="J151" s="735"/>
      <c r="K151" s="36">
        <f t="shared" si="30"/>
        <v>0</v>
      </c>
      <c r="L151" s="728">
        <f t="shared" ref="L151:L163" si="41">MIN(D151,F151,I151)</f>
        <v>0</v>
      </c>
      <c r="M151" s="746">
        <f t="shared" ref="M151:M160" si="42">MIN(L151*O151,E151)</f>
        <v>0</v>
      </c>
      <c r="N151" s="35"/>
      <c r="O151" s="432">
        <v>1490.33</v>
      </c>
      <c r="S151" s="679" t="s">
        <v>364</v>
      </c>
      <c r="T151" s="693" t="str">
        <f t="shared" si="35"/>
        <v/>
      </c>
      <c r="U151" s="716" t="str">
        <f t="shared" si="32"/>
        <v/>
      </c>
    </row>
    <row r="152" spans="1:21" ht="12.75" x14ac:dyDescent="0.2">
      <c r="A152" s="482" t="s">
        <v>365</v>
      </c>
      <c r="B152" s="505" t="s">
        <v>366</v>
      </c>
      <c r="C152" s="622" t="s">
        <v>367</v>
      </c>
      <c r="D152" s="7">
        <v>0</v>
      </c>
      <c r="E152" s="32">
        <v>0</v>
      </c>
      <c r="F152" s="14"/>
      <c r="G152" s="27" t="str">
        <f t="shared" si="40"/>
        <v/>
      </c>
      <c r="H152" s="720" t="e">
        <f t="shared" si="29"/>
        <v>#VALUE!</v>
      </c>
      <c r="I152" s="36"/>
      <c r="J152" s="735"/>
      <c r="K152" s="36">
        <f t="shared" si="30"/>
        <v>0</v>
      </c>
      <c r="L152" s="728">
        <f t="shared" si="41"/>
        <v>0</v>
      </c>
      <c r="M152" s="746">
        <f t="shared" si="42"/>
        <v>0</v>
      </c>
      <c r="N152" s="35"/>
      <c r="O152" s="432">
        <v>1093.0629052108202</v>
      </c>
      <c r="S152" s="679" t="s">
        <v>368</v>
      </c>
      <c r="T152" s="693" t="str">
        <f t="shared" si="35"/>
        <v/>
      </c>
      <c r="U152" s="716" t="str">
        <f t="shared" si="32"/>
        <v/>
      </c>
    </row>
    <row r="153" spans="1:21" ht="12.75" x14ac:dyDescent="0.2">
      <c r="A153" s="482" t="s">
        <v>369</v>
      </c>
      <c r="B153" s="505" t="s">
        <v>370</v>
      </c>
      <c r="C153" s="622" t="s">
        <v>169</v>
      </c>
      <c r="D153" s="7">
        <v>0</v>
      </c>
      <c r="E153" s="32">
        <v>0</v>
      </c>
      <c r="F153" s="14"/>
      <c r="G153" s="27" t="str">
        <f t="shared" si="40"/>
        <v/>
      </c>
      <c r="H153" s="720" t="e">
        <f t="shared" si="29"/>
        <v>#VALUE!</v>
      </c>
      <c r="I153" s="36"/>
      <c r="J153" s="735"/>
      <c r="K153" s="36">
        <f t="shared" si="30"/>
        <v>0</v>
      </c>
      <c r="L153" s="728">
        <f t="shared" si="41"/>
        <v>0</v>
      </c>
      <c r="M153" s="746">
        <f t="shared" si="42"/>
        <v>0</v>
      </c>
      <c r="N153" s="35"/>
      <c r="O153" s="432">
        <v>946.6714330524502</v>
      </c>
      <c r="S153" s="679" t="s">
        <v>371</v>
      </c>
      <c r="T153" s="693" t="str">
        <f t="shared" si="35"/>
        <v/>
      </c>
      <c r="U153" s="716" t="str">
        <f t="shared" si="32"/>
        <v/>
      </c>
    </row>
    <row r="154" spans="1:21" ht="12.75" x14ac:dyDescent="0.2">
      <c r="A154" s="482" t="s">
        <v>372</v>
      </c>
      <c r="B154" s="505" t="s">
        <v>373</v>
      </c>
      <c r="C154" s="622" t="s">
        <v>367</v>
      </c>
      <c r="D154" s="7">
        <v>0</v>
      </c>
      <c r="E154" s="32">
        <v>0</v>
      </c>
      <c r="F154" s="14"/>
      <c r="G154" s="27" t="str">
        <f t="shared" si="40"/>
        <v/>
      </c>
      <c r="H154" s="720" t="e">
        <f t="shared" si="29"/>
        <v>#VALUE!</v>
      </c>
      <c r="I154" s="36"/>
      <c r="J154" s="735"/>
      <c r="K154" s="36">
        <f t="shared" si="30"/>
        <v>0</v>
      </c>
      <c r="L154" s="728">
        <f t="shared" si="41"/>
        <v>0</v>
      </c>
      <c r="M154" s="746">
        <f t="shared" si="42"/>
        <v>0</v>
      </c>
      <c r="N154" s="35"/>
      <c r="O154" s="432">
        <v>3335.95</v>
      </c>
      <c r="S154" s="679" t="s">
        <v>374</v>
      </c>
      <c r="T154" s="693" t="str">
        <f t="shared" si="35"/>
        <v/>
      </c>
      <c r="U154" s="716" t="str">
        <f t="shared" si="32"/>
        <v/>
      </c>
    </row>
    <row r="155" spans="1:21" ht="12.75" x14ac:dyDescent="0.2">
      <c r="A155" s="482" t="s">
        <v>375</v>
      </c>
      <c r="B155" s="498" t="s">
        <v>376</v>
      </c>
      <c r="C155" s="620" t="s">
        <v>367</v>
      </c>
      <c r="D155" s="7">
        <v>0</v>
      </c>
      <c r="E155" s="32">
        <v>0</v>
      </c>
      <c r="F155" s="14"/>
      <c r="G155" s="27" t="str">
        <f t="shared" si="40"/>
        <v/>
      </c>
      <c r="H155" s="720" t="e">
        <f t="shared" si="29"/>
        <v>#VALUE!</v>
      </c>
      <c r="I155" s="36"/>
      <c r="J155" s="735"/>
      <c r="K155" s="36">
        <f t="shared" si="30"/>
        <v>0</v>
      </c>
      <c r="L155" s="728">
        <f t="shared" si="41"/>
        <v>0</v>
      </c>
      <c r="M155" s="746">
        <f t="shared" si="42"/>
        <v>0</v>
      </c>
      <c r="N155" s="35"/>
      <c r="O155" s="432">
        <v>4261.08</v>
      </c>
      <c r="S155" s="678" t="s">
        <v>377</v>
      </c>
      <c r="T155" s="693" t="str">
        <f t="shared" si="35"/>
        <v/>
      </c>
      <c r="U155" s="716" t="str">
        <f t="shared" si="32"/>
        <v/>
      </c>
    </row>
    <row r="156" spans="1:21" ht="12.75" x14ac:dyDescent="0.2">
      <c r="A156" s="482" t="s">
        <v>378</v>
      </c>
      <c r="B156" s="489" t="s">
        <v>379</v>
      </c>
      <c r="C156" s="614" t="s">
        <v>380</v>
      </c>
      <c r="D156" s="7">
        <v>0</v>
      </c>
      <c r="E156" s="32">
        <v>0</v>
      </c>
      <c r="F156" s="14"/>
      <c r="G156" s="27" t="str">
        <f t="shared" si="40"/>
        <v/>
      </c>
      <c r="H156" s="720" t="e">
        <f t="shared" si="29"/>
        <v>#VALUE!</v>
      </c>
      <c r="I156" s="36"/>
      <c r="J156" s="735"/>
      <c r="K156" s="36">
        <f t="shared" si="30"/>
        <v>0</v>
      </c>
      <c r="L156" s="728">
        <f t="shared" si="41"/>
        <v>0</v>
      </c>
      <c r="M156" s="746">
        <f t="shared" si="42"/>
        <v>0</v>
      </c>
      <c r="N156" s="35"/>
      <c r="O156" s="432">
        <v>683.91</v>
      </c>
      <c r="S156" s="670" t="s">
        <v>381</v>
      </c>
      <c r="T156" s="693" t="str">
        <f t="shared" si="35"/>
        <v/>
      </c>
      <c r="U156" s="716" t="str">
        <f t="shared" si="32"/>
        <v/>
      </c>
    </row>
    <row r="157" spans="1:21" ht="12.75" x14ac:dyDescent="0.2">
      <c r="A157" s="482" t="s">
        <v>382</v>
      </c>
      <c r="B157" s="487" t="s">
        <v>383</v>
      </c>
      <c r="C157" s="622" t="s">
        <v>46</v>
      </c>
      <c r="D157" s="7">
        <v>0</v>
      </c>
      <c r="E157" s="32">
        <v>0</v>
      </c>
      <c r="F157" s="14"/>
      <c r="G157" s="27" t="str">
        <f t="shared" si="40"/>
        <v/>
      </c>
      <c r="H157" s="720" t="e">
        <f t="shared" si="29"/>
        <v>#VALUE!</v>
      </c>
      <c r="I157" s="36"/>
      <c r="J157" s="735"/>
      <c r="K157" s="36">
        <f t="shared" si="30"/>
        <v>0</v>
      </c>
      <c r="L157" s="728">
        <f t="shared" si="41"/>
        <v>0</v>
      </c>
      <c r="M157" s="746">
        <f t="shared" si="42"/>
        <v>0</v>
      </c>
      <c r="N157" s="424"/>
      <c r="O157" s="603">
        <v>2479.88</v>
      </c>
      <c r="S157" s="668" t="s">
        <v>384</v>
      </c>
      <c r="T157" s="693" t="str">
        <f t="shared" si="35"/>
        <v/>
      </c>
      <c r="U157" s="716" t="str">
        <f t="shared" si="32"/>
        <v/>
      </c>
    </row>
    <row r="158" spans="1:21" ht="12.75" x14ac:dyDescent="0.2">
      <c r="A158" s="482" t="s">
        <v>385</v>
      </c>
      <c r="B158" s="487" t="s">
        <v>386</v>
      </c>
      <c r="C158" s="622" t="s">
        <v>46</v>
      </c>
      <c r="D158" s="7">
        <v>0</v>
      </c>
      <c r="E158" s="32">
        <v>0</v>
      </c>
      <c r="F158" s="14"/>
      <c r="G158" s="27" t="str">
        <f t="shared" si="40"/>
        <v/>
      </c>
      <c r="H158" s="720" t="e">
        <f t="shared" si="29"/>
        <v>#VALUE!</v>
      </c>
      <c r="I158" s="36"/>
      <c r="J158" s="735"/>
      <c r="K158" s="36">
        <f t="shared" si="30"/>
        <v>0</v>
      </c>
      <c r="L158" s="728">
        <f t="shared" si="41"/>
        <v>0</v>
      </c>
      <c r="M158" s="746">
        <f t="shared" si="42"/>
        <v>0</v>
      </c>
      <c r="N158" s="424"/>
      <c r="O158" s="603">
        <v>3547.48</v>
      </c>
      <c r="S158" s="668" t="s">
        <v>387</v>
      </c>
      <c r="T158" s="693" t="str">
        <f t="shared" si="35"/>
        <v/>
      </c>
      <c r="U158" s="716" t="str">
        <f t="shared" si="32"/>
        <v/>
      </c>
    </row>
    <row r="159" spans="1:21" ht="12.75" x14ac:dyDescent="0.2">
      <c r="A159" s="482" t="s">
        <v>388</v>
      </c>
      <c r="B159" s="487" t="s">
        <v>389</v>
      </c>
      <c r="C159" s="622" t="s">
        <v>46</v>
      </c>
      <c r="D159" s="7">
        <v>0</v>
      </c>
      <c r="E159" s="32">
        <v>0</v>
      </c>
      <c r="F159" s="14"/>
      <c r="G159" s="27" t="str">
        <f t="shared" si="40"/>
        <v/>
      </c>
      <c r="H159" s="720" t="e">
        <f t="shared" si="29"/>
        <v>#VALUE!</v>
      </c>
      <c r="I159" s="36"/>
      <c r="J159" s="735"/>
      <c r="K159" s="36">
        <f t="shared" si="30"/>
        <v>0</v>
      </c>
      <c r="L159" s="728">
        <f t="shared" si="41"/>
        <v>0</v>
      </c>
      <c r="M159" s="746">
        <f t="shared" si="42"/>
        <v>0</v>
      </c>
      <c r="N159" s="424"/>
      <c r="O159" s="603">
        <v>6972.04</v>
      </c>
      <c r="S159" s="668" t="s">
        <v>390</v>
      </c>
      <c r="T159" s="693" t="str">
        <f t="shared" si="35"/>
        <v/>
      </c>
      <c r="U159" s="716" t="str">
        <f t="shared" si="32"/>
        <v/>
      </c>
    </row>
    <row r="160" spans="1:21" ht="13.5" thickBot="1" x14ac:dyDescent="0.25">
      <c r="A160" s="482" t="s">
        <v>391</v>
      </c>
      <c r="B160" s="509" t="s">
        <v>392</v>
      </c>
      <c r="C160" s="627" t="s">
        <v>393</v>
      </c>
      <c r="D160" s="7">
        <v>0</v>
      </c>
      <c r="E160" s="32">
        <v>0</v>
      </c>
      <c r="F160" s="14"/>
      <c r="G160" s="27" t="str">
        <f t="shared" si="40"/>
        <v/>
      </c>
      <c r="H160" s="720" t="e">
        <f t="shared" si="29"/>
        <v>#VALUE!</v>
      </c>
      <c r="I160" s="36"/>
      <c r="J160" s="735"/>
      <c r="K160" s="36">
        <f t="shared" si="30"/>
        <v>0</v>
      </c>
      <c r="L160" s="728">
        <f t="shared" si="41"/>
        <v>0</v>
      </c>
      <c r="M160" s="746">
        <f t="shared" si="42"/>
        <v>0</v>
      </c>
      <c r="N160" s="424"/>
      <c r="O160" s="603">
        <v>10.87</v>
      </c>
      <c r="S160" s="687" t="s">
        <v>394</v>
      </c>
      <c r="T160" s="693" t="str">
        <f t="shared" si="35"/>
        <v/>
      </c>
      <c r="U160" s="716" t="str">
        <f t="shared" si="32"/>
        <v/>
      </c>
    </row>
    <row r="161" spans="1:21" ht="12.75" x14ac:dyDescent="0.2">
      <c r="A161" s="522" t="s">
        <v>395</v>
      </c>
      <c r="B161" s="523" t="s">
        <v>396</v>
      </c>
      <c r="C161" s="618"/>
      <c r="D161" s="545"/>
      <c r="E161" s="524">
        <v>0</v>
      </c>
      <c r="F161" s="461"/>
      <c r="G161" s="444"/>
      <c r="H161" s="748"/>
      <c r="I161" s="445"/>
      <c r="J161" s="739"/>
      <c r="K161" s="749"/>
      <c r="L161" s="732"/>
      <c r="M161" s="750">
        <f>MIN((L162*O162)+(L163*O163),E161)</f>
        <v>0</v>
      </c>
      <c r="N161" s="35"/>
      <c r="O161" s="427"/>
      <c r="S161" s="688" t="s">
        <v>397</v>
      </c>
      <c r="T161" s="693" t="str">
        <f t="shared" si="35"/>
        <v/>
      </c>
      <c r="U161" s="716" t="str">
        <f t="shared" si="32"/>
        <v/>
      </c>
    </row>
    <row r="162" spans="1:21" ht="12.75" x14ac:dyDescent="0.2">
      <c r="A162" s="525" t="s">
        <v>395</v>
      </c>
      <c r="B162" s="494" t="s">
        <v>398</v>
      </c>
      <c r="C162" s="615" t="s">
        <v>193</v>
      </c>
      <c r="D162" s="7">
        <v>0</v>
      </c>
      <c r="E162" s="546"/>
      <c r="F162" s="453"/>
      <c r="G162" s="27" t="str">
        <f t="shared" si="40"/>
        <v/>
      </c>
      <c r="H162" s="720" t="e">
        <f t="shared" si="29"/>
        <v>#VALUE!</v>
      </c>
      <c r="I162" s="36"/>
      <c r="J162" s="735"/>
      <c r="K162" s="36">
        <f t="shared" si="30"/>
        <v>0</v>
      </c>
      <c r="L162" s="728">
        <f t="shared" si="41"/>
        <v>0</v>
      </c>
      <c r="M162" s="747"/>
      <c r="N162" s="35"/>
      <c r="O162" s="427">
        <v>3575</v>
      </c>
      <c r="S162" s="673"/>
      <c r="T162" s="693" t="str">
        <f t="shared" si="35"/>
        <v/>
      </c>
      <c r="U162" s="716" t="str">
        <f t="shared" si="32"/>
        <v/>
      </c>
    </row>
    <row r="163" spans="1:21" ht="13.5" thickBot="1" x14ac:dyDescent="0.25">
      <c r="A163" s="547" t="s">
        <v>395</v>
      </c>
      <c r="B163" s="496" t="s">
        <v>399</v>
      </c>
      <c r="C163" s="628" t="s">
        <v>102</v>
      </c>
      <c r="D163" s="458">
        <v>0</v>
      </c>
      <c r="E163" s="548"/>
      <c r="F163" s="453"/>
      <c r="G163" s="27" t="str">
        <f t="shared" si="40"/>
        <v/>
      </c>
      <c r="H163" s="720" t="e">
        <f t="shared" si="29"/>
        <v>#VALUE!</v>
      </c>
      <c r="I163" s="36"/>
      <c r="J163" s="735"/>
      <c r="K163" s="36">
        <f t="shared" si="30"/>
        <v>0</v>
      </c>
      <c r="L163" s="728">
        <f t="shared" si="41"/>
        <v>0</v>
      </c>
      <c r="M163" s="747"/>
      <c r="N163" s="35"/>
      <c r="O163" s="427">
        <v>1013</v>
      </c>
      <c r="S163" s="689"/>
      <c r="T163" s="693" t="str">
        <f t="shared" si="35"/>
        <v/>
      </c>
      <c r="U163" s="716" t="str">
        <f t="shared" si="32"/>
        <v/>
      </c>
    </row>
    <row r="164" spans="1:21" ht="13.5" thickBot="1" x14ac:dyDescent="0.25">
      <c r="A164" s="550" t="s">
        <v>400</v>
      </c>
      <c r="B164" s="494" t="s">
        <v>401</v>
      </c>
      <c r="C164" s="615" t="s">
        <v>193</v>
      </c>
      <c r="D164" s="467">
        <v>0</v>
      </c>
      <c r="E164" s="551">
        <v>0</v>
      </c>
      <c r="F164" s="453"/>
      <c r="G164" s="27" t="str">
        <f>IF(F164=0,"",F164/D164)</f>
        <v/>
      </c>
      <c r="H164" s="720" t="e">
        <f t="shared" si="29"/>
        <v>#VALUE!</v>
      </c>
      <c r="I164" s="36"/>
      <c r="J164" s="735"/>
      <c r="K164" s="36">
        <f t="shared" si="30"/>
        <v>0</v>
      </c>
      <c r="L164" s="728">
        <f>MIN(D164,F164,I164)</f>
        <v>0</v>
      </c>
      <c r="M164" s="746">
        <f t="shared" ref="M164" si="43">MIN(L164*O164,E164)</f>
        <v>0</v>
      </c>
      <c r="N164" s="35"/>
      <c r="O164" s="435">
        <v>3971</v>
      </c>
      <c r="S164" s="668" t="s">
        <v>402</v>
      </c>
      <c r="T164" s="693" t="str">
        <f t="shared" si="35"/>
        <v/>
      </c>
      <c r="U164" s="716" t="str">
        <f t="shared" si="32"/>
        <v/>
      </c>
    </row>
    <row r="165" spans="1:21" ht="12.75" x14ac:dyDescent="0.2">
      <c r="A165" s="522" t="s">
        <v>403</v>
      </c>
      <c r="B165" s="523" t="s">
        <v>404</v>
      </c>
      <c r="C165" s="618"/>
      <c r="D165" s="545">
        <v>0</v>
      </c>
      <c r="E165" s="524">
        <v>0</v>
      </c>
      <c r="F165" s="461"/>
      <c r="G165" s="444"/>
      <c r="H165" s="748"/>
      <c r="I165" s="445"/>
      <c r="J165" s="739"/>
      <c r="K165" s="749"/>
      <c r="L165" s="732"/>
      <c r="M165" s="750">
        <f>MIN((L166*O166)+(L167*O167),E165)</f>
        <v>0</v>
      </c>
      <c r="N165" s="35"/>
      <c r="O165" s="427"/>
      <c r="S165" s="688" t="s">
        <v>405</v>
      </c>
      <c r="T165" s="693" t="str">
        <f t="shared" si="35"/>
        <v/>
      </c>
      <c r="U165" s="716" t="str">
        <f t="shared" si="32"/>
        <v/>
      </c>
    </row>
    <row r="166" spans="1:21" ht="12.75" x14ac:dyDescent="0.2">
      <c r="A166" s="525" t="s">
        <v>403</v>
      </c>
      <c r="B166" s="494" t="s">
        <v>406</v>
      </c>
      <c r="C166" s="615" t="s">
        <v>46</v>
      </c>
      <c r="D166" s="7">
        <v>0</v>
      </c>
      <c r="E166" s="546"/>
      <c r="F166" s="453"/>
      <c r="G166" s="27" t="str">
        <f t="shared" ref="G166:G167" si="44">IF(F166=0,"",F166/D166)</f>
        <v/>
      </c>
      <c r="H166" s="720" t="e">
        <f t="shared" si="29"/>
        <v>#VALUE!</v>
      </c>
      <c r="I166" s="36"/>
      <c r="J166" s="735"/>
      <c r="K166" s="36">
        <f t="shared" si="30"/>
        <v>0</v>
      </c>
      <c r="L166" s="728">
        <f>MIN(D166,F166,I166)</f>
        <v>0</v>
      </c>
      <c r="M166" s="747"/>
      <c r="N166" s="35"/>
      <c r="O166" s="427">
        <v>4646</v>
      </c>
      <c r="S166" s="673"/>
      <c r="T166" s="693" t="str">
        <f t="shared" si="35"/>
        <v/>
      </c>
      <c r="U166" s="716" t="str">
        <f t="shared" si="32"/>
        <v/>
      </c>
    </row>
    <row r="167" spans="1:21" ht="13.5" thickBot="1" x14ac:dyDescent="0.25">
      <c r="A167" s="552" t="s">
        <v>403</v>
      </c>
      <c r="B167" s="494" t="s">
        <v>407</v>
      </c>
      <c r="C167" s="615" t="s">
        <v>193</v>
      </c>
      <c r="D167" s="454">
        <v>0</v>
      </c>
      <c r="E167" s="553"/>
      <c r="F167" s="453"/>
      <c r="G167" s="27" t="str">
        <f t="shared" si="44"/>
        <v/>
      </c>
      <c r="H167" s="720" t="e">
        <f t="shared" si="29"/>
        <v>#VALUE!</v>
      </c>
      <c r="I167" s="36"/>
      <c r="J167" s="735"/>
      <c r="K167" s="36">
        <f t="shared" si="30"/>
        <v>0</v>
      </c>
      <c r="L167" s="728">
        <f>MIN(D167,F167,I167)</f>
        <v>0</v>
      </c>
      <c r="M167" s="747"/>
      <c r="N167" s="35"/>
      <c r="O167" s="427">
        <v>4063</v>
      </c>
      <c r="S167" s="673"/>
      <c r="T167" s="693" t="str">
        <f t="shared" si="35"/>
        <v/>
      </c>
      <c r="U167" s="716" t="str">
        <f t="shared" si="32"/>
        <v/>
      </c>
    </row>
    <row r="168" spans="1:21" ht="12.75" x14ac:dyDescent="0.2">
      <c r="A168" s="522" t="s">
        <v>408</v>
      </c>
      <c r="B168" s="523" t="s">
        <v>409</v>
      </c>
      <c r="C168" s="618"/>
      <c r="D168" s="545"/>
      <c r="E168" s="524">
        <v>0</v>
      </c>
      <c r="F168" s="461"/>
      <c r="G168" s="444"/>
      <c r="H168" s="748"/>
      <c r="I168" s="445"/>
      <c r="J168" s="739"/>
      <c r="K168" s="749"/>
      <c r="L168" s="732"/>
      <c r="M168" s="750">
        <f>MIN((L169*O169)+(L170*O170),E168)</f>
        <v>0</v>
      </c>
      <c r="N168" s="35"/>
      <c r="O168" s="427"/>
      <c r="S168" s="688" t="s">
        <v>410</v>
      </c>
      <c r="T168" s="693" t="str">
        <f t="shared" si="35"/>
        <v/>
      </c>
      <c r="U168" s="716" t="str">
        <f t="shared" si="32"/>
        <v/>
      </c>
    </row>
    <row r="169" spans="1:21" ht="12.75" x14ac:dyDescent="0.2">
      <c r="A169" s="525" t="s">
        <v>408</v>
      </c>
      <c r="B169" s="494" t="s">
        <v>411</v>
      </c>
      <c r="C169" s="615" t="s">
        <v>46</v>
      </c>
      <c r="D169" s="7">
        <v>0</v>
      </c>
      <c r="E169" s="546"/>
      <c r="F169" s="453"/>
      <c r="G169" s="27" t="str">
        <f t="shared" ref="G169:G170" si="45">IF(F169=0,"",F169/D169)</f>
        <v/>
      </c>
      <c r="H169" s="720" t="e">
        <f t="shared" si="29"/>
        <v>#VALUE!</v>
      </c>
      <c r="I169" s="36"/>
      <c r="J169" s="735"/>
      <c r="K169" s="36">
        <f t="shared" si="30"/>
        <v>0</v>
      </c>
      <c r="L169" s="728">
        <f>MIN(D169,F169,I169)</f>
        <v>0</v>
      </c>
      <c r="M169" s="747"/>
      <c r="N169" s="35"/>
      <c r="O169" s="427">
        <v>4646</v>
      </c>
      <c r="S169" s="673"/>
      <c r="T169" s="693" t="str">
        <f t="shared" si="35"/>
        <v/>
      </c>
      <c r="U169" s="716" t="str">
        <f t="shared" si="32"/>
        <v/>
      </c>
    </row>
    <row r="170" spans="1:21" ht="13.5" thickBot="1" x14ac:dyDescent="0.25">
      <c r="A170" s="526" t="s">
        <v>408</v>
      </c>
      <c r="B170" s="527" t="s">
        <v>412</v>
      </c>
      <c r="C170" s="629" t="s">
        <v>193</v>
      </c>
      <c r="D170" s="528">
        <v>0</v>
      </c>
      <c r="E170" s="549"/>
      <c r="F170" s="453"/>
      <c r="G170" s="27" t="str">
        <f t="shared" si="45"/>
        <v/>
      </c>
      <c r="H170" s="720" t="e">
        <f t="shared" si="29"/>
        <v>#VALUE!</v>
      </c>
      <c r="I170" s="36"/>
      <c r="J170" s="735"/>
      <c r="K170" s="36">
        <f t="shared" si="30"/>
        <v>0</v>
      </c>
      <c r="L170" s="728">
        <f>MIN(D170,F170,I170)</f>
        <v>0</v>
      </c>
      <c r="M170" s="747"/>
      <c r="N170" s="35"/>
      <c r="O170" s="427">
        <v>2708</v>
      </c>
      <c r="S170" s="674"/>
      <c r="T170" s="693" t="str">
        <f t="shared" si="35"/>
        <v/>
      </c>
      <c r="U170" s="716" t="str">
        <f t="shared" si="32"/>
        <v/>
      </c>
    </row>
    <row r="171" spans="1:21" ht="12.75" x14ac:dyDescent="0.2">
      <c r="A171" s="497" t="s">
        <v>413</v>
      </c>
      <c r="B171" s="487" t="s">
        <v>414</v>
      </c>
      <c r="C171" s="615" t="s">
        <v>193</v>
      </c>
      <c r="D171" s="459">
        <v>0</v>
      </c>
      <c r="E171" s="456">
        <v>0</v>
      </c>
      <c r="F171" s="14"/>
      <c r="G171" s="27" t="str">
        <f t="shared" ref="G171:G177" si="46">IF(F171=0,"",F171/D171)</f>
        <v/>
      </c>
      <c r="H171" s="720" t="e">
        <f t="shared" si="29"/>
        <v>#VALUE!</v>
      </c>
      <c r="I171" s="36"/>
      <c r="J171" s="735"/>
      <c r="K171" s="36">
        <f t="shared" si="30"/>
        <v>0</v>
      </c>
      <c r="L171" s="728">
        <f t="shared" ref="L171:L177" si="47">MIN(D171,F171,I171)</f>
        <v>0</v>
      </c>
      <c r="M171" s="746">
        <f t="shared" ref="M171:M177" si="48">MIN(L171*O171,E171)</f>
        <v>0</v>
      </c>
      <c r="N171" s="35"/>
      <c r="O171" s="427">
        <v>918</v>
      </c>
      <c r="S171" s="668" t="s">
        <v>415</v>
      </c>
      <c r="T171" s="693" t="str">
        <f t="shared" si="35"/>
        <v/>
      </c>
      <c r="U171" s="716" t="str">
        <f t="shared" si="32"/>
        <v/>
      </c>
    </row>
    <row r="172" spans="1:21" ht="12.75" x14ac:dyDescent="0.2">
      <c r="A172" s="482" t="s">
        <v>416</v>
      </c>
      <c r="B172" s="487" t="s">
        <v>417</v>
      </c>
      <c r="C172" s="615" t="s">
        <v>193</v>
      </c>
      <c r="D172" s="7">
        <v>0</v>
      </c>
      <c r="E172" s="32">
        <v>0</v>
      </c>
      <c r="F172" s="14"/>
      <c r="G172" s="27" t="str">
        <f t="shared" si="46"/>
        <v/>
      </c>
      <c r="H172" s="720" t="e">
        <f t="shared" si="29"/>
        <v>#VALUE!</v>
      </c>
      <c r="I172" s="36"/>
      <c r="J172" s="735"/>
      <c r="K172" s="36">
        <f t="shared" si="30"/>
        <v>0</v>
      </c>
      <c r="L172" s="728">
        <f t="shared" si="47"/>
        <v>0</v>
      </c>
      <c r="M172" s="746">
        <f t="shared" si="48"/>
        <v>0</v>
      </c>
      <c r="N172" s="35"/>
      <c r="O172" s="435">
        <v>481</v>
      </c>
      <c r="S172" s="668" t="s">
        <v>418</v>
      </c>
      <c r="T172" s="693" t="str">
        <f t="shared" si="35"/>
        <v/>
      </c>
      <c r="U172" s="716" t="str">
        <f t="shared" si="32"/>
        <v/>
      </c>
    </row>
    <row r="173" spans="1:21" ht="12.75" x14ac:dyDescent="0.2">
      <c r="A173" s="482" t="s">
        <v>419</v>
      </c>
      <c r="B173" s="487" t="s">
        <v>420</v>
      </c>
      <c r="C173" s="615" t="s">
        <v>193</v>
      </c>
      <c r="D173" s="7">
        <v>0</v>
      </c>
      <c r="E173" s="32">
        <v>0</v>
      </c>
      <c r="F173" s="14"/>
      <c r="G173" s="27" t="str">
        <f t="shared" si="46"/>
        <v/>
      </c>
      <c r="H173" s="720" t="e">
        <f t="shared" si="29"/>
        <v>#VALUE!</v>
      </c>
      <c r="I173" s="36"/>
      <c r="J173" s="735"/>
      <c r="K173" s="36">
        <f t="shared" si="30"/>
        <v>0</v>
      </c>
      <c r="L173" s="728">
        <f t="shared" si="47"/>
        <v>0</v>
      </c>
      <c r="M173" s="746">
        <f t="shared" si="48"/>
        <v>0</v>
      </c>
      <c r="N173" s="35"/>
      <c r="O173" s="435">
        <v>680</v>
      </c>
      <c r="S173" s="668" t="s">
        <v>421</v>
      </c>
      <c r="T173" s="693" t="str">
        <f t="shared" si="35"/>
        <v/>
      </c>
      <c r="U173" s="716" t="str">
        <f t="shared" si="32"/>
        <v/>
      </c>
    </row>
    <row r="174" spans="1:21" ht="12.75" x14ac:dyDescent="0.2">
      <c r="A174" s="482" t="s">
        <v>422</v>
      </c>
      <c r="B174" s="511" t="s">
        <v>423</v>
      </c>
      <c r="C174" s="630" t="s">
        <v>46</v>
      </c>
      <c r="D174" s="7">
        <v>0</v>
      </c>
      <c r="E174" s="32">
        <v>0</v>
      </c>
      <c r="F174" s="14"/>
      <c r="G174" s="27" t="str">
        <f t="shared" si="46"/>
        <v/>
      </c>
      <c r="H174" s="720" t="e">
        <f t="shared" si="29"/>
        <v>#VALUE!</v>
      </c>
      <c r="I174" s="36"/>
      <c r="J174" s="735"/>
      <c r="K174" s="36">
        <f t="shared" si="30"/>
        <v>0</v>
      </c>
      <c r="L174" s="728">
        <f t="shared" si="47"/>
        <v>0</v>
      </c>
      <c r="M174" s="746">
        <f t="shared" si="48"/>
        <v>0</v>
      </c>
      <c r="N174" s="35"/>
      <c r="O174" s="435">
        <v>216</v>
      </c>
      <c r="S174" s="690" t="s">
        <v>424</v>
      </c>
      <c r="T174" s="693" t="str">
        <f t="shared" si="35"/>
        <v/>
      </c>
      <c r="U174" s="716" t="str">
        <f t="shared" si="32"/>
        <v/>
      </c>
    </row>
    <row r="175" spans="1:21" ht="12.75" x14ac:dyDescent="0.2">
      <c r="A175" s="482" t="s">
        <v>425</v>
      </c>
      <c r="B175" s="487" t="s">
        <v>426</v>
      </c>
      <c r="C175" s="615" t="s">
        <v>193</v>
      </c>
      <c r="D175" s="7">
        <v>0</v>
      </c>
      <c r="E175" s="32">
        <v>0</v>
      </c>
      <c r="F175" s="14"/>
      <c r="G175" s="27" t="str">
        <f t="shared" si="46"/>
        <v/>
      </c>
      <c r="H175" s="720" t="e">
        <f t="shared" si="29"/>
        <v>#VALUE!</v>
      </c>
      <c r="I175" s="36"/>
      <c r="J175" s="735"/>
      <c r="K175" s="36">
        <f t="shared" si="30"/>
        <v>0</v>
      </c>
      <c r="L175" s="728">
        <f t="shared" si="47"/>
        <v>0</v>
      </c>
      <c r="M175" s="746">
        <f t="shared" si="48"/>
        <v>0</v>
      </c>
      <c r="N175" s="35"/>
      <c r="O175" s="436">
        <v>296</v>
      </c>
      <c r="S175" s="668" t="s">
        <v>427</v>
      </c>
      <c r="T175" s="693" t="str">
        <f t="shared" si="35"/>
        <v/>
      </c>
      <c r="U175" s="716" t="str">
        <f t="shared" si="32"/>
        <v/>
      </c>
    </row>
    <row r="176" spans="1:21" ht="12.75" x14ac:dyDescent="0.2">
      <c r="A176" s="490" t="s">
        <v>428</v>
      </c>
      <c r="B176" s="510" t="s">
        <v>429</v>
      </c>
      <c r="C176" s="631" t="s">
        <v>193</v>
      </c>
      <c r="D176" s="7">
        <v>0</v>
      </c>
      <c r="E176" s="32">
        <v>0</v>
      </c>
      <c r="F176" s="14"/>
      <c r="G176" s="27" t="str">
        <f t="shared" si="46"/>
        <v/>
      </c>
      <c r="H176" s="720" t="e">
        <f t="shared" si="29"/>
        <v>#VALUE!</v>
      </c>
      <c r="I176" s="36"/>
      <c r="J176" s="735"/>
      <c r="K176" s="36">
        <f t="shared" si="30"/>
        <v>0</v>
      </c>
      <c r="L176" s="728">
        <f t="shared" si="47"/>
        <v>0</v>
      </c>
      <c r="M176" s="746">
        <f t="shared" si="48"/>
        <v>0</v>
      </c>
      <c r="N176" s="35"/>
      <c r="O176" s="427">
        <v>366.73</v>
      </c>
      <c r="S176" s="691" t="s">
        <v>430</v>
      </c>
      <c r="T176" s="693" t="str">
        <f t="shared" si="35"/>
        <v/>
      </c>
      <c r="U176" s="716" t="str">
        <f t="shared" si="32"/>
        <v/>
      </c>
    </row>
    <row r="177" spans="1:21" ht="25.5" x14ac:dyDescent="0.2">
      <c r="A177" s="516" t="s">
        <v>431</v>
      </c>
      <c r="B177" s="663" t="s">
        <v>432</v>
      </c>
      <c r="C177" s="609" t="s">
        <v>433</v>
      </c>
      <c r="D177" s="7">
        <v>0</v>
      </c>
      <c r="E177" s="32">
        <v>0</v>
      </c>
      <c r="F177" s="14"/>
      <c r="G177" s="27" t="str">
        <f t="shared" si="46"/>
        <v/>
      </c>
      <c r="H177" s="720" t="e">
        <f t="shared" si="29"/>
        <v>#VALUE!</v>
      </c>
      <c r="I177" s="36"/>
      <c r="J177" s="735"/>
      <c r="K177" s="36">
        <f t="shared" si="30"/>
        <v>0</v>
      </c>
      <c r="L177" s="728">
        <f t="shared" si="47"/>
        <v>0</v>
      </c>
      <c r="M177" s="746">
        <f t="shared" si="48"/>
        <v>0</v>
      </c>
      <c r="N177" s="35"/>
      <c r="O177" s="427">
        <v>21178</v>
      </c>
      <c r="S177" s="692" t="s">
        <v>434</v>
      </c>
      <c r="T177" s="694" t="str">
        <f t="shared" si="35"/>
        <v/>
      </c>
      <c r="U177" s="717" t="str">
        <f t="shared" si="32"/>
        <v/>
      </c>
    </row>
    <row r="179" spans="1:21" x14ac:dyDescent="0.2">
      <c r="A179" s="664" t="s">
        <v>435</v>
      </c>
    </row>
  </sheetData>
  <sheetProtection algorithmName="SHA-512" hashValue="5NZ+eLIzQNHIj3pgCccQSEsDCpsHBGSqHiqIQitV0IrlyFqMnOCTXTmXR+lpeB/rhGfADv6F3wJsXFZPXVyUMg==" saltValue="gBP8HQUXFGQUDGnoZ2HRAg==" spinCount="100000" sheet="1" selectLockedCells="1"/>
  <autoFilter ref="T9:U177" xr:uid="{00000000-0001-0000-0500-000000000000}"/>
  <mergeCells count="5">
    <mergeCell ref="A4:B4"/>
    <mergeCell ref="B53:B54"/>
    <mergeCell ref="F7:G7"/>
    <mergeCell ref="A6:E6"/>
    <mergeCell ref="J6:K6"/>
  </mergeCells>
  <phoneticPr fontId="0" type="noConversion"/>
  <conditionalFormatting sqref="B164:B1048576 B1:B5 B8 B10:B161">
    <cfRule type="duplicateValues" dxfId="27" priority="22" stopIfTrue="1"/>
  </conditionalFormatting>
  <conditionalFormatting sqref="D10:E177">
    <cfRule type="cellIs" dxfId="26" priority="5" stopIfTrue="1" operator="equal">
      <formula>0</formula>
    </cfRule>
  </conditionalFormatting>
  <conditionalFormatting sqref="F10:F177 L10:M177">
    <cfRule type="cellIs" dxfId="0" priority="6" stopIfTrue="1" operator="notEqual">
      <formula>""""""</formula>
    </cfRule>
  </conditionalFormatting>
  <conditionalFormatting sqref="F1:H2 D1:E5 M3 F3:F7 L4:L7 D7:E7">
    <cfRule type="cellIs" dxfId="25" priority="25" stopIfTrue="1" operator="equal">
      <formula>"X"</formula>
    </cfRule>
  </conditionalFormatting>
  <conditionalFormatting sqref="G10:H177">
    <cfRule type="cellIs" dxfId="24" priority="7" stopIfTrue="1" operator="notEqual">
      <formula>1</formula>
    </cfRule>
    <cfRule type="cellIs" dxfId="23" priority="8" stopIfTrue="1" operator="equal">
      <formula>1</formula>
    </cfRule>
  </conditionalFormatting>
  <conditionalFormatting sqref="L1:M1">
    <cfRule type="cellIs" dxfId="22" priority="16" stopIfTrue="1" operator="equal">
      <formula>"X"</formula>
    </cfRule>
  </conditionalFormatting>
  <conditionalFormatting sqref="S164:S177 S10:S161">
    <cfRule type="duplicateValues" dxfId="21" priority="1" stopIfTrue="1"/>
  </conditionalFormatting>
  <dataValidations count="1">
    <dataValidation type="decimal" allowBlank="1" showInputMessage="1" showErrorMessage="1" sqref="D10:D177" xr:uid="{00000000-0002-0000-0500-000001000000}">
      <formula1>0</formula1>
      <formula2>999999999</formula2>
    </dataValidation>
  </dataValidations>
  <printOptions horizontalCentered="1"/>
  <pageMargins left="0.75" right="0.75" top="0.75" bottom="0.75" header="0.5" footer="0.5"/>
  <pageSetup fitToHeight="0" orientation="landscape" r:id="rId1"/>
  <headerFooter alignWithMargins="0">
    <oddHeader>&amp;C&amp;A</oddHeader>
    <oddFooter>&amp;CPage &amp;P of &amp;N&amp;RJanuary 2025</oddFooter>
  </headerFooter>
  <ignoredErrors>
    <ignoredError sqref="A101:A132 A88:A100 A78:A87 A69:A77 A60:A63 A38:A59 A14:A37 A12:A13 A10:A11 A138:A150 A133:A137 A151:A160 A175:A177 A161:A174 A64:A6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06DDF-65FA-411C-BFB3-8386B0E2AC09}">
  <sheetPr codeName="Sheet1"/>
  <dimension ref="A1:M58"/>
  <sheetViews>
    <sheetView zoomScaleNormal="100" workbookViewId="0">
      <selection activeCell="E17" sqref="E17"/>
    </sheetView>
  </sheetViews>
  <sheetFormatPr defaultRowHeight="12.75" x14ac:dyDescent="0.2"/>
  <cols>
    <col min="2" max="2" width="40.7109375" customWidth="1"/>
    <col min="3" max="3" width="9.42578125" style="606" customWidth="1"/>
    <col min="5" max="5" width="12.140625" bestFit="1" customWidth="1"/>
    <col min="6" max="9" width="9.140625" hidden="1" customWidth="1"/>
    <col min="10" max="10" width="10.7109375" hidden="1" customWidth="1"/>
    <col min="11" max="11" width="9.140625" hidden="1" customWidth="1"/>
    <col min="12" max="12" width="11.42578125" hidden="1" customWidth="1"/>
  </cols>
  <sheetData>
    <row r="1" spans="1:13" ht="15.75" x14ac:dyDescent="0.2">
      <c r="A1" s="477" t="s">
        <v>436</v>
      </c>
      <c r="B1" s="478"/>
      <c r="C1" s="608"/>
      <c r="D1" s="479"/>
      <c r="E1" s="480">
        <f>SUM(E3:E27)</f>
        <v>0</v>
      </c>
      <c r="F1" s="480"/>
      <c r="G1" s="480"/>
      <c r="H1" s="480"/>
      <c r="I1" s="480"/>
      <c r="J1" s="480">
        <f>SUM(J3:J25)</f>
        <v>0</v>
      </c>
      <c r="K1" s="30"/>
      <c r="L1" s="416"/>
      <c r="M1" s="416"/>
    </row>
    <row r="2" spans="1:13" x14ac:dyDescent="0.2">
      <c r="A2" s="9" t="s">
        <v>6</v>
      </c>
      <c r="B2" s="10" t="s">
        <v>7</v>
      </c>
      <c r="C2" s="10" t="s">
        <v>8</v>
      </c>
      <c r="D2" s="11" t="s">
        <v>9</v>
      </c>
      <c r="E2" s="31" t="s">
        <v>10</v>
      </c>
      <c r="F2" s="11" t="s">
        <v>11</v>
      </c>
      <c r="G2" s="12" t="s">
        <v>12</v>
      </c>
      <c r="H2" s="10" t="s">
        <v>13</v>
      </c>
      <c r="I2" s="11" t="s">
        <v>14</v>
      </c>
      <c r="J2" s="12" t="s">
        <v>437</v>
      </c>
      <c r="K2" s="13" t="s">
        <v>16</v>
      </c>
      <c r="L2" s="562">
        <v>2024</v>
      </c>
      <c r="M2" s="416"/>
    </row>
    <row r="3" spans="1:13" ht="15.75" x14ac:dyDescent="0.2">
      <c r="A3" s="361">
        <v>1</v>
      </c>
      <c r="B3" s="362" t="s">
        <v>438</v>
      </c>
      <c r="C3" s="632" t="s">
        <v>193</v>
      </c>
      <c r="D3" s="587">
        <v>0</v>
      </c>
      <c r="E3" s="588">
        <v>0</v>
      </c>
      <c r="F3" s="14"/>
      <c r="G3" s="27"/>
      <c r="H3" s="36"/>
      <c r="I3" s="34">
        <f>MIN(D3,F3,H3)</f>
        <v>0</v>
      </c>
      <c r="J3" s="301">
        <f t="shared" ref="J3:J25" si="0">MIN(I3*L3,E3)</f>
        <v>0</v>
      </c>
      <c r="K3" s="35"/>
      <c r="L3" s="422">
        <v>604.79999999999995</v>
      </c>
      <c r="M3" s="416"/>
    </row>
    <row r="4" spans="1:13" ht="15.75" x14ac:dyDescent="0.2">
      <c r="A4" s="361">
        <v>2</v>
      </c>
      <c r="B4" s="362" t="s">
        <v>439</v>
      </c>
      <c r="C4" s="632" t="s">
        <v>193</v>
      </c>
      <c r="D4" s="587">
        <v>0</v>
      </c>
      <c r="E4" s="588">
        <v>0</v>
      </c>
      <c r="F4" s="14"/>
      <c r="G4" s="27" t="str">
        <f t="shared" ref="G4:G25" si="1">IF(F4=0,"",F4/D4)</f>
        <v/>
      </c>
      <c r="H4" s="36"/>
      <c r="I4" s="34">
        <f t="shared" ref="I4:I25" si="2">MIN(D4,F4,H4)</f>
        <v>0</v>
      </c>
      <c r="J4" s="301">
        <f t="shared" si="0"/>
        <v>0</v>
      </c>
      <c r="K4" s="35"/>
      <c r="L4" s="422">
        <v>378</v>
      </c>
      <c r="M4" s="416"/>
    </row>
    <row r="5" spans="1:13" ht="31.5" x14ac:dyDescent="0.2">
      <c r="A5" s="361">
        <v>3</v>
      </c>
      <c r="B5" s="371" t="s">
        <v>440</v>
      </c>
      <c r="C5" s="633" t="s">
        <v>26</v>
      </c>
      <c r="D5" s="587">
        <v>0</v>
      </c>
      <c r="E5" s="588">
        <v>0</v>
      </c>
      <c r="F5" s="14"/>
      <c r="G5" s="27"/>
      <c r="H5" s="36"/>
      <c r="I5" s="34">
        <f t="shared" si="2"/>
        <v>0</v>
      </c>
      <c r="J5" s="301">
        <f t="shared" si="0"/>
        <v>0</v>
      </c>
      <c r="K5" s="35"/>
      <c r="L5" s="422">
        <v>7.1899999999999995</v>
      </c>
      <c r="M5" s="416"/>
    </row>
    <row r="6" spans="1:13" ht="15.75" x14ac:dyDescent="0.2">
      <c r="A6" s="361">
        <v>4</v>
      </c>
      <c r="B6" s="362" t="s">
        <v>441</v>
      </c>
      <c r="C6" s="632" t="s">
        <v>442</v>
      </c>
      <c r="D6" s="587">
        <v>0</v>
      </c>
      <c r="E6" s="588">
        <v>0</v>
      </c>
      <c r="F6" s="14"/>
      <c r="G6" s="27" t="str">
        <f t="shared" si="1"/>
        <v/>
      </c>
      <c r="H6" s="36"/>
      <c r="I6" s="34">
        <f t="shared" si="2"/>
        <v>0</v>
      </c>
      <c r="J6" s="301">
        <f t="shared" si="0"/>
        <v>0</v>
      </c>
      <c r="K6" s="35" t="s">
        <v>443</v>
      </c>
      <c r="L6" s="419">
        <f>3.24*170</f>
        <v>550.80000000000007</v>
      </c>
      <c r="M6" s="416"/>
    </row>
    <row r="7" spans="1:13" ht="15.75" x14ac:dyDescent="0.2">
      <c r="A7" s="361">
        <v>5</v>
      </c>
      <c r="B7" s="362" t="s">
        <v>444</v>
      </c>
      <c r="C7" s="632" t="s">
        <v>22</v>
      </c>
      <c r="D7" s="587">
        <v>0</v>
      </c>
      <c r="E7" s="588">
        <v>0</v>
      </c>
      <c r="F7" s="14"/>
      <c r="G7" s="27" t="str">
        <f t="shared" si="1"/>
        <v/>
      </c>
      <c r="H7" s="36"/>
      <c r="I7" s="34">
        <f t="shared" si="2"/>
        <v>0</v>
      </c>
      <c r="J7" s="301">
        <f t="shared" si="0"/>
        <v>0</v>
      </c>
      <c r="K7" s="35"/>
      <c r="L7" s="420">
        <v>3.24</v>
      </c>
      <c r="M7" s="416"/>
    </row>
    <row r="8" spans="1:13" ht="31.5" x14ac:dyDescent="0.2">
      <c r="A8" s="361">
        <v>6</v>
      </c>
      <c r="B8" s="371" t="s">
        <v>445</v>
      </c>
      <c r="C8" s="633" t="s">
        <v>46</v>
      </c>
      <c r="D8" s="587">
        <v>0</v>
      </c>
      <c r="E8" s="588">
        <v>0</v>
      </c>
      <c r="F8" s="14"/>
      <c r="G8" s="27" t="str">
        <f>IF(F8=0,"",F8/D8)</f>
        <v/>
      </c>
      <c r="H8" s="36"/>
      <c r="I8" s="34">
        <f t="shared" si="2"/>
        <v>0</v>
      </c>
      <c r="J8" s="301">
        <f t="shared" si="0"/>
        <v>0</v>
      </c>
      <c r="K8" s="35"/>
      <c r="L8" s="420">
        <v>97.84</v>
      </c>
      <c r="M8" s="416"/>
    </row>
    <row r="9" spans="1:13" ht="15.75" x14ac:dyDescent="0.2">
      <c r="A9" s="361">
        <v>7</v>
      </c>
      <c r="B9" s="362" t="s">
        <v>446</v>
      </c>
      <c r="C9" s="632" t="s">
        <v>46</v>
      </c>
      <c r="D9" s="587">
        <v>0</v>
      </c>
      <c r="E9" s="588">
        <v>0</v>
      </c>
      <c r="F9" s="14"/>
      <c r="G9" s="27" t="str">
        <f>IF(F9=0,"",F9/D9)</f>
        <v/>
      </c>
      <c r="H9" s="36"/>
      <c r="I9" s="34">
        <f t="shared" si="2"/>
        <v>0</v>
      </c>
      <c r="J9" s="301">
        <f t="shared" si="0"/>
        <v>0</v>
      </c>
      <c r="K9" s="35"/>
      <c r="L9" s="420">
        <f>419.76</f>
        <v>419.76</v>
      </c>
      <c r="M9" s="416"/>
    </row>
    <row r="10" spans="1:13" ht="15.75" x14ac:dyDescent="0.2">
      <c r="A10" s="361">
        <v>8</v>
      </c>
      <c r="B10" s="362" t="s">
        <v>447</v>
      </c>
      <c r="C10" s="632" t="s">
        <v>46</v>
      </c>
      <c r="D10" s="587">
        <v>0</v>
      </c>
      <c r="E10" s="588">
        <v>0</v>
      </c>
      <c r="F10" s="14"/>
      <c r="G10" s="27" t="str">
        <f t="shared" si="1"/>
        <v/>
      </c>
      <c r="H10" s="36"/>
      <c r="I10" s="34">
        <f t="shared" si="2"/>
        <v>0</v>
      </c>
      <c r="J10" s="301">
        <f t="shared" si="0"/>
        <v>0</v>
      </c>
      <c r="K10" s="35"/>
      <c r="L10" s="420">
        <v>132.87</v>
      </c>
      <c r="M10" s="416"/>
    </row>
    <row r="11" spans="1:13" ht="15.75" x14ac:dyDescent="0.2">
      <c r="A11" s="361">
        <v>9</v>
      </c>
      <c r="B11" s="362" t="s">
        <v>448</v>
      </c>
      <c r="C11" s="632" t="s">
        <v>46</v>
      </c>
      <c r="D11" s="587">
        <v>0</v>
      </c>
      <c r="E11" s="588">
        <v>0</v>
      </c>
      <c r="F11" s="14"/>
      <c r="G11" s="27" t="str">
        <f t="shared" si="1"/>
        <v/>
      </c>
      <c r="H11" s="36"/>
      <c r="I11" s="34">
        <f t="shared" si="2"/>
        <v>0</v>
      </c>
      <c r="J11" s="301">
        <f t="shared" si="0"/>
        <v>0</v>
      </c>
      <c r="K11" s="35"/>
      <c r="L11" s="420">
        <v>348.54</v>
      </c>
      <c r="M11" s="416"/>
    </row>
    <row r="12" spans="1:13" ht="15.75" x14ac:dyDescent="0.2">
      <c r="A12" s="361">
        <v>10</v>
      </c>
      <c r="B12" s="362" t="s">
        <v>449</v>
      </c>
      <c r="C12" s="632" t="s">
        <v>46</v>
      </c>
      <c r="D12" s="587">
        <v>0</v>
      </c>
      <c r="E12" s="588">
        <v>0</v>
      </c>
      <c r="F12" s="14"/>
      <c r="G12" s="27" t="str">
        <f t="shared" si="1"/>
        <v/>
      </c>
      <c r="H12" s="36"/>
      <c r="I12" s="34">
        <f t="shared" si="2"/>
        <v>0</v>
      </c>
      <c r="J12" s="301">
        <f t="shared" si="0"/>
        <v>0</v>
      </c>
      <c r="K12" s="35"/>
      <c r="L12" s="421">
        <v>2413</v>
      </c>
      <c r="M12" s="416"/>
    </row>
    <row r="13" spans="1:13" ht="15.75" x14ac:dyDescent="0.2">
      <c r="A13" s="361">
        <v>11</v>
      </c>
      <c r="B13" s="362" t="s">
        <v>450</v>
      </c>
      <c r="C13" s="632" t="s">
        <v>451</v>
      </c>
      <c r="D13" s="587">
        <v>0</v>
      </c>
      <c r="E13" s="588">
        <v>0</v>
      </c>
      <c r="F13" s="14"/>
      <c r="G13" s="27" t="str">
        <f t="shared" si="1"/>
        <v/>
      </c>
      <c r="H13" s="36"/>
      <c r="I13" s="34">
        <f t="shared" si="2"/>
        <v>0</v>
      </c>
      <c r="J13" s="301">
        <f t="shared" si="0"/>
        <v>0</v>
      </c>
      <c r="K13" s="35"/>
      <c r="L13" s="419">
        <v>8761</v>
      </c>
      <c r="M13" s="416"/>
    </row>
    <row r="14" spans="1:13" ht="15.75" x14ac:dyDescent="0.2">
      <c r="A14" s="361">
        <v>12</v>
      </c>
      <c r="B14" s="362" t="s">
        <v>452</v>
      </c>
      <c r="C14" s="632" t="s">
        <v>451</v>
      </c>
      <c r="D14" s="587">
        <v>0</v>
      </c>
      <c r="E14" s="588">
        <v>0</v>
      </c>
      <c r="F14" s="14"/>
      <c r="G14" s="27" t="str">
        <f t="shared" si="1"/>
        <v/>
      </c>
      <c r="H14" s="36"/>
      <c r="I14" s="34">
        <f t="shared" si="2"/>
        <v>0</v>
      </c>
      <c r="J14" s="301">
        <f>MIN(I14*L14,E14)</f>
        <v>0</v>
      </c>
      <c r="K14" s="35"/>
      <c r="L14" s="420">
        <f>(86.86*18+318.24)*2</f>
        <v>3763.44</v>
      </c>
      <c r="M14" s="416"/>
    </row>
    <row r="15" spans="1:13" ht="15.75" x14ac:dyDescent="0.2">
      <c r="A15" s="361">
        <v>13</v>
      </c>
      <c r="B15" s="362" t="s">
        <v>453</v>
      </c>
      <c r="C15" s="632" t="s">
        <v>46</v>
      </c>
      <c r="D15" s="587">
        <v>0</v>
      </c>
      <c r="E15" s="588">
        <v>0</v>
      </c>
      <c r="F15" s="14"/>
      <c r="G15" s="27" t="str">
        <f t="shared" si="1"/>
        <v/>
      </c>
      <c r="H15" s="36"/>
      <c r="I15" s="34">
        <f t="shared" si="2"/>
        <v>0</v>
      </c>
      <c r="J15" s="301">
        <f t="shared" si="0"/>
        <v>0</v>
      </c>
      <c r="K15" s="35"/>
      <c r="L15" s="420">
        <f xml:space="preserve"> 86.86*15+ 318.24</f>
        <v>1621.14</v>
      </c>
      <c r="M15" s="416"/>
    </row>
    <row r="16" spans="1:13" ht="15.75" x14ac:dyDescent="0.2">
      <c r="A16" s="361">
        <v>14</v>
      </c>
      <c r="B16" s="362" t="s">
        <v>454</v>
      </c>
      <c r="C16" s="632" t="s">
        <v>442</v>
      </c>
      <c r="D16" s="587">
        <v>0</v>
      </c>
      <c r="E16" s="588">
        <v>0</v>
      </c>
      <c r="F16" s="14"/>
      <c r="G16" s="27" t="str">
        <f t="shared" si="1"/>
        <v/>
      </c>
      <c r="H16" s="36"/>
      <c r="I16" s="34">
        <f t="shared" si="2"/>
        <v>0</v>
      </c>
      <c r="J16" s="301">
        <f t="shared" si="0"/>
        <v>0</v>
      </c>
      <c r="K16" s="35"/>
      <c r="L16" s="420">
        <f>(9.03+3.78)*140</f>
        <v>1793.3999999999999</v>
      </c>
      <c r="M16" s="416"/>
    </row>
    <row r="17" spans="1:13" ht="15.75" x14ac:dyDescent="0.2">
      <c r="A17" s="361">
        <v>15</v>
      </c>
      <c r="B17" s="362" t="s">
        <v>455</v>
      </c>
      <c r="C17" s="632" t="s">
        <v>442</v>
      </c>
      <c r="D17" s="587">
        <v>0</v>
      </c>
      <c r="E17" s="588">
        <v>0</v>
      </c>
      <c r="F17" s="14"/>
      <c r="G17" s="27" t="str">
        <f t="shared" si="1"/>
        <v/>
      </c>
      <c r="H17" s="36"/>
      <c r="I17" s="34">
        <f t="shared" si="2"/>
        <v>0</v>
      </c>
      <c r="J17" s="301">
        <f t="shared" si="0"/>
        <v>0</v>
      </c>
      <c r="K17" s="35"/>
      <c r="L17" s="420">
        <f>(2.91+3.68)*140</f>
        <v>922.6</v>
      </c>
      <c r="M17" s="416"/>
    </row>
    <row r="18" spans="1:13" ht="15.75" x14ac:dyDescent="0.2">
      <c r="A18" s="361">
        <v>16</v>
      </c>
      <c r="B18" s="362" t="s">
        <v>456</v>
      </c>
      <c r="C18" s="632" t="s">
        <v>26</v>
      </c>
      <c r="D18" s="587">
        <v>0</v>
      </c>
      <c r="E18" s="588">
        <v>0</v>
      </c>
      <c r="F18" s="14"/>
      <c r="G18" s="27" t="str">
        <f t="shared" si="1"/>
        <v/>
      </c>
      <c r="H18" s="36"/>
      <c r="I18" s="34">
        <f t="shared" si="2"/>
        <v>0</v>
      </c>
      <c r="J18" s="301">
        <f t="shared" si="0"/>
        <v>0</v>
      </c>
      <c r="K18" s="35"/>
      <c r="L18" s="420">
        <f>43.56*5</f>
        <v>217.8</v>
      </c>
      <c r="M18" s="416"/>
    </row>
    <row r="19" spans="1:13" ht="15.75" x14ac:dyDescent="0.2">
      <c r="A19" s="361">
        <v>17</v>
      </c>
      <c r="B19" s="362" t="s">
        <v>457</v>
      </c>
      <c r="C19" s="632" t="s">
        <v>26</v>
      </c>
      <c r="D19" s="587">
        <v>0</v>
      </c>
      <c r="E19" s="588">
        <v>0</v>
      </c>
      <c r="F19" s="14"/>
      <c r="G19" s="27" t="str">
        <f t="shared" si="1"/>
        <v/>
      </c>
      <c r="H19" s="36"/>
      <c r="I19" s="34">
        <f t="shared" si="2"/>
        <v>0</v>
      </c>
      <c r="J19" s="301">
        <f t="shared" si="0"/>
        <v>0</v>
      </c>
      <c r="K19" s="35"/>
      <c r="L19" s="420">
        <f>43.56*3</f>
        <v>130.68</v>
      </c>
      <c r="M19" s="416"/>
    </row>
    <row r="20" spans="1:13" ht="15.75" x14ac:dyDescent="0.2">
      <c r="A20" s="361">
        <v>18</v>
      </c>
      <c r="B20" s="362" t="s">
        <v>458</v>
      </c>
      <c r="C20" s="632" t="s">
        <v>46</v>
      </c>
      <c r="D20" s="587">
        <v>0</v>
      </c>
      <c r="E20" s="588">
        <v>0</v>
      </c>
      <c r="F20" s="14"/>
      <c r="G20" s="27" t="str">
        <f t="shared" si="1"/>
        <v/>
      </c>
      <c r="H20" s="36"/>
      <c r="I20" s="34">
        <f t="shared" si="2"/>
        <v>0</v>
      </c>
      <c r="J20" s="301">
        <f t="shared" si="0"/>
        <v>0</v>
      </c>
      <c r="K20" s="35"/>
      <c r="L20" s="420">
        <f>43.56*4</f>
        <v>174.24</v>
      </c>
      <c r="M20" s="416"/>
    </row>
    <row r="21" spans="1:13" ht="15.75" x14ac:dyDescent="0.2">
      <c r="A21" s="361">
        <v>19</v>
      </c>
      <c r="B21" s="379" t="s">
        <v>459</v>
      </c>
      <c r="C21" s="696" t="s">
        <v>22</v>
      </c>
      <c r="D21" s="587">
        <v>0</v>
      </c>
      <c r="E21" s="588">
        <v>0</v>
      </c>
      <c r="F21" s="14"/>
      <c r="G21" s="27" t="str">
        <f t="shared" si="1"/>
        <v/>
      </c>
      <c r="H21" s="36"/>
      <c r="I21" s="34">
        <f t="shared" si="2"/>
        <v>0</v>
      </c>
      <c r="J21" s="301">
        <f t="shared" si="0"/>
        <v>0</v>
      </c>
      <c r="K21" s="35"/>
      <c r="L21" s="420">
        <f>3.24</f>
        <v>3.24</v>
      </c>
      <c r="M21" s="416"/>
    </row>
    <row r="22" spans="1:13" ht="15.75" x14ac:dyDescent="0.2">
      <c r="A22" s="361">
        <v>20</v>
      </c>
      <c r="B22" s="379" t="s">
        <v>460</v>
      </c>
      <c r="C22" s="696" t="s">
        <v>22</v>
      </c>
      <c r="D22" s="587">
        <v>0</v>
      </c>
      <c r="E22" s="588">
        <v>0</v>
      </c>
      <c r="F22" s="14"/>
      <c r="G22" s="27" t="str">
        <f t="shared" si="1"/>
        <v/>
      </c>
      <c r="H22" s="36"/>
      <c r="I22" s="34">
        <f t="shared" si="2"/>
        <v>0</v>
      </c>
      <c r="J22" s="301">
        <f t="shared" si="0"/>
        <v>0</v>
      </c>
      <c r="K22" s="35"/>
      <c r="L22" s="420">
        <f>3.24*430</f>
        <v>1393.2</v>
      </c>
      <c r="M22" s="416"/>
    </row>
    <row r="23" spans="1:13" ht="15.75" x14ac:dyDescent="0.2">
      <c r="A23" s="361">
        <v>21</v>
      </c>
      <c r="B23" s="362" t="s">
        <v>461</v>
      </c>
      <c r="C23" s="632" t="s">
        <v>26</v>
      </c>
      <c r="D23" s="587">
        <v>0</v>
      </c>
      <c r="E23" s="588">
        <v>0</v>
      </c>
      <c r="F23" s="14"/>
      <c r="G23" s="27" t="str">
        <f t="shared" si="1"/>
        <v/>
      </c>
      <c r="H23" s="36"/>
      <c r="I23" s="34">
        <f t="shared" si="2"/>
        <v>0</v>
      </c>
      <c r="J23" s="301">
        <f t="shared" si="0"/>
        <v>0</v>
      </c>
      <c r="K23" s="35"/>
      <c r="L23" s="420">
        <v>43.56</v>
      </c>
      <c r="M23" s="416"/>
    </row>
    <row r="24" spans="1:13" ht="15.75" x14ac:dyDescent="0.2">
      <c r="A24" s="361">
        <v>22</v>
      </c>
      <c r="B24" s="362" t="s">
        <v>462</v>
      </c>
      <c r="C24" s="632" t="s">
        <v>463</v>
      </c>
      <c r="D24" s="587">
        <v>0</v>
      </c>
      <c r="E24" s="588">
        <v>0</v>
      </c>
      <c r="F24" s="14"/>
      <c r="G24" s="27" t="str">
        <f t="shared" si="1"/>
        <v/>
      </c>
      <c r="H24" s="36"/>
      <c r="I24" s="34">
        <f t="shared" si="2"/>
        <v>0</v>
      </c>
      <c r="J24" s="301">
        <f t="shared" si="0"/>
        <v>0</v>
      </c>
      <c r="K24" s="35"/>
      <c r="L24" s="420">
        <f>(3+1.5)*1.096*14.27+5.74*1.096*3</f>
        <v>89.252760000000009</v>
      </c>
      <c r="M24" s="416"/>
    </row>
    <row r="25" spans="1:13" ht="15.75" x14ac:dyDescent="0.2">
      <c r="A25" s="361">
        <v>23</v>
      </c>
      <c r="B25" s="362" t="s">
        <v>464</v>
      </c>
      <c r="C25" s="632" t="s">
        <v>46</v>
      </c>
      <c r="D25" s="587">
        <v>0</v>
      </c>
      <c r="E25" s="588">
        <v>0</v>
      </c>
      <c r="F25" s="14"/>
      <c r="G25" s="27" t="str">
        <f t="shared" si="1"/>
        <v/>
      </c>
      <c r="H25" s="36"/>
      <c r="I25" s="34">
        <f t="shared" si="2"/>
        <v>0</v>
      </c>
      <c r="J25" s="301">
        <f t="shared" si="0"/>
        <v>0</v>
      </c>
      <c r="K25" s="35"/>
      <c r="L25" s="420">
        <f>(1.72+4.6+16.25)*7</f>
        <v>157.99</v>
      </c>
      <c r="M25" s="416"/>
    </row>
    <row r="26" spans="1:13" ht="15.75" x14ac:dyDescent="0.2">
      <c r="A26" s="361">
        <v>24</v>
      </c>
      <c r="B26" s="362" t="s">
        <v>465</v>
      </c>
      <c r="C26" s="632" t="s">
        <v>46</v>
      </c>
      <c r="D26" s="587">
        <v>0</v>
      </c>
      <c r="E26" s="588">
        <v>0</v>
      </c>
      <c r="F26" s="14"/>
      <c r="G26" s="27" t="str">
        <f t="shared" ref="G26:G27" si="3">IF(F26=0,"",F26/D26)</f>
        <v/>
      </c>
      <c r="H26" s="36"/>
      <c r="I26" s="34">
        <f t="shared" ref="I26:I27" si="4">MIN(D26,F26,H26)</f>
        <v>0</v>
      </c>
      <c r="J26" s="301">
        <f t="shared" ref="J26:J27" si="5">MIN(I26*L26,E26)</f>
        <v>0</v>
      </c>
      <c r="K26" s="35"/>
      <c r="L26" s="420">
        <f>34.2*24</f>
        <v>820.80000000000007</v>
      </c>
      <c r="M26" s="416"/>
    </row>
    <row r="27" spans="1:13" ht="15.75" x14ac:dyDescent="0.2">
      <c r="A27" s="361">
        <v>25</v>
      </c>
      <c r="B27" s="362" t="s">
        <v>466</v>
      </c>
      <c r="C27" s="632" t="s">
        <v>22</v>
      </c>
      <c r="D27" s="587">
        <v>0</v>
      </c>
      <c r="E27" s="588">
        <v>0</v>
      </c>
      <c r="F27" s="14"/>
      <c r="G27" s="27" t="str">
        <f t="shared" si="3"/>
        <v/>
      </c>
      <c r="H27" s="36"/>
      <c r="I27" s="34">
        <f t="shared" si="4"/>
        <v>0</v>
      </c>
      <c r="J27" s="301">
        <f t="shared" si="5"/>
        <v>0</v>
      </c>
      <c r="K27" s="35"/>
      <c r="L27" s="420">
        <v>34.200000000000003</v>
      </c>
      <c r="M27" s="416"/>
    </row>
    <row r="28" spans="1:13" x14ac:dyDescent="0.2">
      <c r="A28" s="416"/>
      <c r="B28" s="416"/>
      <c r="C28" s="700"/>
      <c r="D28" s="416"/>
      <c r="E28" s="416"/>
      <c r="F28" s="416"/>
      <c r="G28" s="416"/>
      <c r="H28" s="416"/>
      <c r="I28" s="416"/>
      <c r="J28" s="416"/>
      <c r="K28" s="416"/>
      <c r="L28" s="416"/>
      <c r="M28" s="416"/>
    </row>
    <row r="29" spans="1:13" x14ac:dyDescent="0.2">
      <c r="A29" s="416"/>
      <c r="B29" s="416"/>
      <c r="C29" s="700"/>
      <c r="D29" s="416"/>
      <c r="E29" s="416"/>
      <c r="F29" s="416"/>
      <c r="G29" s="416"/>
      <c r="H29" s="416"/>
      <c r="I29" s="416"/>
      <c r="J29" s="416"/>
      <c r="K29" s="416"/>
      <c r="L29" s="416"/>
      <c r="M29" s="416"/>
    </row>
    <row r="32" spans="1:13" ht="15.75" hidden="1" x14ac:dyDescent="0.2">
      <c r="A32" s="23" t="s">
        <v>467</v>
      </c>
      <c r="B32" s="24"/>
      <c r="C32" s="635"/>
      <c r="D32" s="25"/>
      <c r="E32" s="30">
        <f>SUM(E34:E190)</f>
        <v>750033</v>
      </c>
      <c r="F32" s="30"/>
      <c r="G32" s="30"/>
      <c r="H32" s="30"/>
      <c r="I32" s="30"/>
      <c r="J32" s="30">
        <f t="shared" ref="J32" si="6">SUM(J34:J190)</f>
        <v>48608.68965517242</v>
      </c>
      <c r="K32" s="26"/>
      <c r="L32" s="416"/>
      <c r="M32" s="416"/>
    </row>
    <row r="33" spans="1:12" hidden="1" x14ac:dyDescent="0.2">
      <c r="A33" s="9" t="s">
        <v>6</v>
      </c>
      <c r="B33" s="10" t="s">
        <v>7</v>
      </c>
      <c r="C33" s="10"/>
      <c r="D33" s="11" t="s">
        <v>9</v>
      </c>
      <c r="E33" s="31" t="s">
        <v>10</v>
      </c>
      <c r="F33" s="11" t="s">
        <v>11</v>
      </c>
      <c r="G33" s="12" t="s">
        <v>12</v>
      </c>
      <c r="H33" s="10" t="s">
        <v>13</v>
      </c>
      <c r="I33" s="11" t="s">
        <v>14</v>
      </c>
      <c r="J33" s="12" t="s">
        <v>437</v>
      </c>
      <c r="K33" s="13" t="s">
        <v>16</v>
      </c>
      <c r="L33" s="416"/>
    </row>
    <row r="34" spans="1:12" ht="15.75" hidden="1" x14ac:dyDescent="0.2">
      <c r="A34" s="361">
        <v>1</v>
      </c>
      <c r="B34" s="362" t="s">
        <v>438</v>
      </c>
      <c r="C34" s="632"/>
      <c r="D34" s="7">
        <v>2</v>
      </c>
      <c r="E34" s="32">
        <v>0</v>
      </c>
      <c r="F34" s="14">
        <v>1</v>
      </c>
      <c r="G34" s="27">
        <f t="shared" ref="G34" si="7">F34/D34</f>
        <v>0.5</v>
      </c>
      <c r="H34" s="36"/>
      <c r="I34" s="34">
        <f>MIN(D34,F34,H34)</f>
        <v>1</v>
      </c>
      <c r="J34" s="301">
        <f t="shared" ref="J34:J44" si="8">MIN(I34*L34,E34)</f>
        <v>0</v>
      </c>
      <c r="K34" s="35"/>
      <c r="L34" s="416">
        <v>604.79999999999995</v>
      </c>
    </row>
    <row r="35" spans="1:12" ht="15.75" hidden="1" x14ac:dyDescent="0.2">
      <c r="A35" s="361">
        <v>2</v>
      </c>
      <c r="B35" s="362" t="s">
        <v>439</v>
      </c>
      <c r="C35" s="632"/>
      <c r="D35" s="7">
        <v>20</v>
      </c>
      <c r="E35" s="32">
        <v>0</v>
      </c>
      <c r="F35" s="14">
        <v>0</v>
      </c>
      <c r="G35" s="27" t="str">
        <f t="shared" ref="G35" si="9">IF(F35=0,"",F35/D35)</f>
        <v/>
      </c>
      <c r="H35" s="36"/>
      <c r="I35" s="34">
        <f t="shared" ref="I35:I58" si="10">MIN(D35,F35,H35)</f>
        <v>0</v>
      </c>
      <c r="J35" s="301">
        <f t="shared" si="8"/>
        <v>0</v>
      </c>
      <c r="K35" s="35"/>
      <c r="L35" s="416">
        <v>378</v>
      </c>
    </row>
    <row r="36" spans="1:12" ht="31.5" hidden="1" x14ac:dyDescent="0.2">
      <c r="A36" s="361">
        <v>3</v>
      </c>
      <c r="B36" s="371" t="s">
        <v>440</v>
      </c>
      <c r="C36" s="633"/>
      <c r="D36" s="7">
        <v>20</v>
      </c>
      <c r="E36" s="32">
        <v>0</v>
      </c>
      <c r="F36" s="14">
        <v>0</v>
      </c>
      <c r="G36" s="27"/>
      <c r="H36" s="36"/>
      <c r="I36" s="34">
        <f t="shared" si="10"/>
        <v>0</v>
      </c>
      <c r="J36" s="301">
        <f t="shared" si="8"/>
        <v>0</v>
      </c>
      <c r="K36" s="35"/>
      <c r="L36" s="416">
        <v>10.247999999999999</v>
      </c>
    </row>
    <row r="37" spans="1:12" ht="15.75" hidden="1" x14ac:dyDescent="0.2">
      <c r="A37" s="361">
        <v>4</v>
      </c>
      <c r="B37" s="362" t="s">
        <v>441</v>
      </c>
      <c r="C37" s="632"/>
      <c r="D37" s="7">
        <v>6</v>
      </c>
      <c r="E37" s="32">
        <v>0</v>
      </c>
      <c r="F37" s="14">
        <v>5</v>
      </c>
      <c r="G37" s="27">
        <f t="shared" ref="G37:G38" si="11">IF(F37=0,"",F37/D37)</f>
        <v>0.83333333333333337</v>
      </c>
      <c r="H37" s="36"/>
      <c r="I37" s="34">
        <f t="shared" si="10"/>
        <v>5</v>
      </c>
      <c r="J37" s="301">
        <f t="shared" si="8"/>
        <v>0</v>
      </c>
      <c r="K37" s="35" t="s">
        <v>443</v>
      </c>
      <c r="L37" s="416">
        <v>673.83749999999998</v>
      </c>
    </row>
    <row r="38" spans="1:12" ht="15.75" hidden="1" x14ac:dyDescent="0.2">
      <c r="A38" s="361">
        <v>5</v>
      </c>
      <c r="B38" s="362" t="s">
        <v>444</v>
      </c>
      <c r="C38" s="632"/>
      <c r="D38" s="7">
        <v>10</v>
      </c>
      <c r="E38" s="32">
        <v>0</v>
      </c>
      <c r="F38" s="14">
        <v>2</v>
      </c>
      <c r="G38" s="27">
        <f t="shared" si="11"/>
        <v>0.2</v>
      </c>
      <c r="H38" s="36"/>
      <c r="I38" s="34">
        <f t="shared" si="10"/>
        <v>2</v>
      </c>
      <c r="J38" s="301">
        <f t="shared" si="8"/>
        <v>0</v>
      </c>
      <c r="K38" s="35"/>
      <c r="L38" s="416">
        <v>4.1944444444444446</v>
      </c>
    </row>
    <row r="39" spans="1:12" ht="31.5" hidden="1" x14ac:dyDescent="0.2">
      <c r="A39" s="361">
        <v>6</v>
      </c>
      <c r="B39" s="371" t="s">
        <v>445</v>
      </c>
      <c r="C39" s="633"/>
      <c r="D39" s="7">
        <v>10</v>
      </c>
      <c r="E39" s="32">
        <v>0</v>
      </c>
      <c r="F39" s="14">
        <v>12</v>
      </c>
      <c r="G39" s="27">
        <f>IF(F39=0,"",F39/D39)</f>
        <v>1.2</v>
      </c>
      <c r="H39" s="36"/>
      <c r="I39" s="34">
        <f t="shared" si="10"/>
        <v>10</v>
      </c>
      <c r="J39" s="301">
        <f t="shared" si="8"/>
        <v>0</v>
      </c>
      <c r="K39" s="35"/>
      <c r="L39" s="416">
        <v>133.41818181818181</v>
      </c>
    </row>
    <row r="40" spans="1:12" ht="15.75" hidden="1" x14ac:dyDescent="0.2">
      <c r="A40" s="361">
        <v>7</v>
      </c>
      <c r="B40" s="362" t="s">
        <v>446</v>
      </c>
      <c r="C40" s="632"/>
      <c r="D40" s="7">
        <v>0</v>
      </c>
      <c r="E40" s="32">
        <v>0</v>
      </c>
      <c r="F40" s="14"/>
      <c r="G40" s="27" t="str">
        <f>IF(F40=0,"",F40/D40)</f>
        <v/>
      </c>
      <c r="H40" s="36"/>
      <c r="I40" s="34">
        <f t="shared" si="10"/>
        <v>0</v>
      </c>
      <c r="J40" s="301">
        <f t="shared" si="8"/>
        <v>0</v>
      </c>
      <c r="K40" s="35"/>
      <c r="L40" s="416">
        <v>421.58557692307693</v>
      </c>
    </row>
    <row r="41" spans="1:12" ht="15.75" hidden="1" x14ac:dyDescent="0.2">
      <c r="A41" s="361">
        <v>8</v>
      </c>
      <c r="B41" s="362" t="s">
        <v>447</v>
      </c>
      <c r="C41" s="632"/>
      <c r="D41" s="7">
        <v>0</v>
      </c>
      <c r="E41" s="32">
        <v>0</v>
      </c>
      <c r="F41" s="14"/>
      <c r="G41" s="27" t="str">
        <f t="shared" ref="G41:G58" si="12">IF(F41=0,"",F41/D41)</f>
        <v/>
      </c>
      <c r="H41" s="36"/>
      <c r="I41" s="34">
        <f t="shared" si="10"/>
        <v>0</v>
      </c>
      <c r="J41" s="301">
        <f t="shared" si="8"/>
        <v>0</v>
      </c>
      <c r="K41" s="35"/>
      <c r="L41" s="416">
        <v>229.8</v>
      </c>
    </row>
    <row r="42" spans="1:12" ht="15.75" hidden="1" x14ac:dyDescent="0.2">
      <c r="A42" s="361">
        <v>9</v>
      </c>
      <c r="B42" s="362" t="s">
        <v>448</v>
      </c>
      <c r="C42" s="632"/>
      <c r="D42" s="7">
        <v>0</v>
      </c>
      <c r="E42" s="32">
        <v>0</v>
      </c>
      <c r="F42" s="14"/>
      <c r="G42" s="27" t="str">
        <f t="shared" si="12"/>
        <v/>
      </c>
      <c r="H42" s="36"/>
      <c r="I42" s="34">
        <f t="shared" si="10"/>
        <v>0</v>
      </c>
      <c r="J42" s="301">
        <f t="shared" si="8"/>
        <v>0</v>
      </c>
      <c r="K42" s="35"/>
      <c r="L42" s="416">
        <v>812.976</v>
      </c>
    </row>
    <row r="43" spans="1:12" ht="15.75" hidden="1" x14ac:dyDescent="0.2">
      <c r="A43" s="361">
        <v>10</v>
      </c>
      <c r="B43" s="362" t="s">
        <v>449</v>
      </c>
      <c r="C43" s="632"/>
      <c r="D43" s="7">
        <v>0</v>
      </c>
      <c r="E43" s="32">
        <v>0</v>
      </c>
      <c r="F43" s="14"/>
      <c r="G43" s="27" t="str">
        <f t="shared" si="12"/>
        <v/>
      </c>
      <c r="H43" s="36"/>
      <c r="I43" s="34">
        <f t="shared" si="10"/>
        <v>0</v>
      </c>
      <c r="J43" s="301">
        <f t="shared" si="8"/>
        <v>0</v>
      </c>
      <c r="K43" s="35"/>
      <c r="L43" s="416">
        <v>4049.4545454545455</v>
      </c>
    </row>
    <row r="44" spans="1:12" ht="15.75" hidden="1" x14ac:dyDescent="0.2">
      <c r="A44" s="361">
        <v>11</v>
      </c>
      <c r="B44" s="362" t="s">
        <v>450</v>
      </c>
      <c r="C44" s="632"/>
      <c r="D44" s="7">
        <v>0</v>
      </c>
      <c r="E44" s="32">
        <v>0</v>
      </c>
      <c r="F44" s="14"/>
      <c r="G44" s="27" t="str">
        <f t="shared" si="12"/>
        <v/>
      </c>
      <c r="H44" s="36"/>
      <c r="I44" s="34">
        <f t="shared" si="10"/>
        <v>0</v>
      </c>
      <c r="J44" s="301">
        <f t="shared" si="8"/>
        <v>0</v>
      </c>
      <c r="K44" s="35"/>
      <c r="L44" s="416">
        <v>11258.695652173912</v>
      </c>
    </row>
    <row r="45" spans="1:12" ht="15.75" hidden="1" x14ac:dyDescent="0.2">
      <c r="A45" s="361">
        <v>12</v>
      </c>
      <c r="B45" s="362" t="s">
        <v>452</v>
      </c>
      <c r="C45" s="632"/>
      <c r="D45" s="7">
        <v>8</v>
      </c>
      <c r="E45" s="32">
        <v>750000</v>
      </c>
      <c r="F45" s="14">
        <v>5</v>
      </c>
      <c r="G45" s="27">
        <f t="shared" si="12"/>
        <v>0.625</v>
      </c>
      <c r="H45" s="36"/>
      <c r="I45" s="34">
        <f t="shared" si="10"/>
        <v>5</v>
      </c>
      <c r="J45" s="301">
        <f>MIN(I45*L45,E45)</f>
        <v>48608.68965517242</v>
      </c>
      <c r="K45" s="35"/>
      <c r="L45" s="416">
        <v>9721.7379310344841</v>
      </c>
    </row>
    <row r="46" spans="1:12" ht="15.75" hidden="1" x14ac:dyDescent="0.2">
      <c r="A46" s="361">
        <v>13</v>
      </c>
      <c r="B46" s="362" t="s">
        <v>453</v>
      </c>
      <c r="C46" s="632"/>
      <c r="D46" s="7">
        <v>0</v>
      </c>
      <c r="E46" s="32">
        <v>0</v>
      </c>
      <c r="F46" s="14"/>
      <c r="G46" s="27" t="str">
        <f t="shared" si="12"/>
        <v/>
      </c>
      <c r="H46" s="36"/>
      <c r="I46" s="34">
        <f t="shared" si="10"/>
        <v>0</v>
      </c>
      <c r="J46" s="301">
        <f t="shared" ref="J46:J58" si="13">MIN(I46*L46,E46)</f>
        <v>0</v>
      </c>
      <c r="K46" s="35"/>
      <c r="L46" s="416">
        <v>4545.2806451612905</v>
      </c>
    </row>
    <row r="47" spans="1:12" ht="15.75" hidden="1" x14ac:dyDescent="0.2">
      <c r="A47" s="361">
        <v>14</v>
      </c>
      <c r="B47" s="362" t="s">
        <v>454</v>
      </c>
      <c r="C47" s="632"/>
      <c r="D47" s="7">
        <v>0</v>
      </c>
      <c r="E47" s="32">
        <v>0</v>
      </c>
      <c r="F47" s="14"/>
      <c r="G47" s="27" t="str">
        <f t="shared" si="12"/>
        <v/>
      </c>
      <c r="H47" s="36"/>
      <c r="I47" s="34">
        <f t="shared" si="10"/>
        <v>0</v>
      </c>
      <c r="J47" s="301">
        <f t="shared" si="13"/>
        <v>0</v>
      </c>
      <c r="K47" s="35"/>
      <c r="L47" s="416">
        <v>4102.608695652174</v>
      </c>
    </row>
    <row r="48" spans="1:12" ht="15.75" hidden="1" x14ac:dyDescent="0.2">
      <c r="A48" s="361">
        <v>15</v>
      </c>
      <c r="B48" s="362" t="s">
        <v>455</v>
      </c>
      <c r="C48" s="632"/>
      <c r="D48" s="7">
        <v>0</v>
      </c>
      <c r="E48" s="32">
        <v>0</v>
      </c>
      <c r="F48" s="14"/>
      <c r="G48" s="27" t="str">
        <f t="shared" si="12"/>
        <v/>
      </c>
      <c r="H48" s="36"/>
      <c r="I48" s="34">
        <f t="shared" si="10"/>
        <v>0</v>
      </c>
      <c r="J48" s="301">
        <f t="shared" si="13"/>
        <v>0</v>
      </c>
      <c r="K48" s="35"/>
      <c r="L48" s="416">
        <v>766.52038834951463</v>
      </c>
    </row>
    <row r="49" spans="1:12" ht="15.75" hidden="1" x14ac:dyDescent="0.2">
      <c r="A49" s="361">
        <v>16</v>
      </c>
      <c r="B49" s="362" t="s">
        <v>456</v>
      </c>
      <c r="C49" s="632"/>
      <c r="D49" s="7">
        <v>0</v>
      </c>
      <c r="E49" s="32">
        <v>0</v>
      </c>
      <c r="F49" s="14"/>
      <c r="G49" s="27" t="str">
        <f t="shared" si="12"/>
        <v/>
      </c>
      <c r="H49" s="36"/>
      <c r="I49" s="34">
        <f t="shared" si="10"/>
        <v>0</v>
      </c>
      <c r="J49" s="301">
        <f t="shared" si="13"/>
        <v>0</v>
      </c>
      <c r="K49" s="35"/>
      <c r="L49" s="416">
        <v>285.86250000000001</v>
      </c>
    </row>
    <row r="50" spans="1:12" ht="15.75" hidden="1" x14ac:dyDescent="0.2">
      <c r="A50" s="361">
        <v>17</v>
      </c>
      <c r="B50" s="362" t="s">
        <v>457</v>
      </c>
      <c r="C50" s="632"/>
      <c r="D50" s="7">
        <v>0</v>
      </c>
      <c r="E50" s="32">
        <v>0</v>
      </c>
      <c r="F50" s="14"/>
      <c r="G50" s="27" t="str">
        <f t="shared" si="12"/>
        <v/>
      </c>
      <c r="H50" s="36"/>
      <c r="I50" s="34">
        <f t="shared" si="10"/>
        <v>0</v>
      </c>
      <c r="J50" s="301">
        <f t="shared" si="13"/>
        <v>0</v>
      </c>
      <c r="K50" s="35"/>
      <c r="L50" s="416">
        <v>142.96153846153845</v>
      </c>
    </row>
    <row r="51" spans="1:12" ht="15.75" hidden="1" x14ac:dyDescent="0.2">
      <c r="A51" s="361">
        <v>18</v>
      </c>
      <c r="B51" s="362" t="s">
        <v>458</v>
      </c>
      <c r="C51" s="632"/>
      <c r="D51" s="7">
        <v>0</v>
      </c>
      <c r="E51" s="32">
        <v>23</v>
      </c>
      <c r="F51" s="14"/>
      <c r="G51" s="27" t="str">
        <f t="shared" si="12"/>
        <v/>
      </c>
      <c r="H51" s="36"/>
      <c r="I51" s="34">
        <f t="shared" si="10"/>
        <v>0</v>
      </c>
      <c r="J51" s="301">
        <f t="shared" si="13"/>
        <v>0</v>
      </c>
      <c r="K51" s="35"/>
      <c r="L51" s="416">
        <v>217.36842105263159</v>
      </c>
    </row>
    <row r="52" spans="1:12" ht="15.75" hidden="1" x14ac:dyDescent="0.2">
      <c r="A52" s="361">
        <v>19</v>
      </c>
      <c r="B52" s="379" t="s">
        <v>459</v>
      </c>
      <c r="C52" s="634"/>
      <c r="D52" s="7">
        <v>0</v>
      </c>
      <c r="E52" s="32">
        <v>0</v>
      </c>
      <c r="F52" s="14"/>
      <c r="G52" s="27" t="str">
        <f t="shared" si="12"/>
        <v/>
      </c>
      <c r="H52" s="36"/>
      <c r="I52" s="34">
        <f t="shared" si="10"/>
        <v>0</v>
      </c>
      <c r="J52" s="301">
        <f t="shared" si="13"/>
        <v>0</v>
      </c>
      <c r="K52" s="35"/>
      <c r="L52" s="416">
        <v>4.5</v>
      </c>
    </row>
    <row r="53" spans="1:12" ht="15.75" hidden="1" x14ac:dyDescent="0.2">
      <c r="A53" s="361">
        <v>20</v>
      </c>
      <c r="B53" s="379" t="s">
        <v>460</v>
      </c>
      <c r="C53" s="634"/>
      <c r="D53" s="7">
        <v>0</v>
      </c>
      <c r="E53" s="32">
        <v>10</v>
      </c>
      <c r="F53" s="14"/>
      <c r="G53" s="27" t="str">
        <f t="shared" si="12"/>
        <v/>
      </c>
      <c r="H53" s="36"/>
      <c r="I53" s="34">
        <f t="shared" si="10"/>
        <v>0</v>
      </c>
      <c r="J53" s="301">
        <f t="shared" si="13"/>
        <v>0</v>
      </c>
      <c r="K53" s="35"/>
      <c r="L53" s="416">
        <v>2201.9739130434782</v>
      </c>
    </row>
    <row r="54" spans="1:12" ht="15.75" hidden="1" x14ac:dyDescent="0.2">
      <c r="A54" s="361">
        <v>21</v>
      </c>
      <c r="B54" s="362" t="s">
        <v>461</v>
      </c>
      <c r="C54" s="632"/>
      <c r="D54" s="7">
        <v>0</v>
      </c>
      <c r="E54" s="32">
        <v>0</v>
      </c>
      <c r="F54" s="14"/>
      <c r="G54" s="27" t="str">
        <f t="shared" si="12"/>
        <v/>
      </c>
      <c r="H54" s="36"/>
      <c r="I54" s="34">
        <f t="shared" si="10"/>
        <v>0</v>
      </c>
      <c r="J54" s="301">
        <f t="shared" si="13"/>
        <v>0</v>
      </c>
      <c r="K54" s="35"/>
      <c r="L54" s="416">
        <v>58.08</v>
      </c>
    </row>
    <row r="55" spans="1:12" ht="15.75" hidden="1" x14ac:dyDescent="0.2">
      <c r="A55" s="361">
        <v>22</v>
      </c>
      <c r="B55" s="362" t="s">
        <v>462</v>
      </c>
      <c r="C55" s="632"/>
      <c r="D55" s="7">
        <v>0</v>
      </c>
      <c r="E55" s="32">
        <v>0</v>
      </c>
      <c r="F55" s="14"/>
      <c r="G55" s="27" t="str">
        <f t="shared" si="12"/>
        <v/>
      </c>
      <c r="H55" s="36"/>
      <c r="I55" s="34">
        <f t="shared" si="10"/>
        <v>0</v>
      </c>
      <c r="J55" s="301">
        <f t="shared" si="13"/>
        <v>0</v>
      </c>
      <c r="K55" s="35"/>
      <c r="L55" s="416">
        <v>112.27423999999999</v>
      </c>
    </row>
    <row r="56" spans="1:12" ht="15.75" hidden="1" x14ac:dyDescent="0.2">
      <c r="A56" s="361">
        <v>23</v>
      </c>
      <c r="B56" s="362" t="s">
        <v>464</v>
      </c>
      <c r="C56" s="632"/>
      <c r="D56" s="7">
        <v>0</v>
      </c>
      <c r="E56" s="32">
        <v>0</v>
      </c>
      <c r="F56" s="14"/>
      <c r="G56" s="27" t="str">
        <f t="shared" si="12"/>
        <v/>
      </c>
      <c r="H56" s="36"/>
      <c r="I56" s="34">
        <f t="shared" si="10"/>
        <v>0</v>
      </c>
      <c r="J56" s="301">
        <f t="shared" si="13"/>
        <v>0</v>
      </c>
      <c r="K56" s="35"/>
      <c r="L56" s="416">
        <v>197.5826086956522</v>
      </c>
    </row>
    <row r="57" spans="1:12" ht="15.75" hidden="1" x14ac:dyDescent="0.2">
      <c r="A57" s="361">
        <v>24</v>
      </c>
      <c r="B57" s="362" t="s">
        <v>465</v>
      </c>
      <c r="C57" s="632"/>
      <c r="D57" s="7">
        <v>0</v>
      </c>
      <c r="E57" s="32">
        <v>0</v>
      </c>
      <c r="F57" s="14"/>
      <c r="G57" s="27" t="str">
        <f t="shared" si="12"/>
        <v/>
      </c>
      <c r="H57" s="36"/>
      <c r="I57" s="34">
        <f t="shared" si="10"/>
        <v>0</v>
      </c>
      <c r="J57" s="301">
        <f t="shared" si="13"/>
        <v>0</v>
      </c>
      <c r="K57" s="35"/>
      <c r="L57" s="416">
        <v>1787.55</v>
      </c>
    </row>
    <row r="58" spans="1:12" ht="15.75" hidden="1" x14ac:dyDescent="0.2">
      <c r="A58" s="361">
        <v>25</v>
      </c>
      <c r="B58" s="362" t="s">
        <v>466</v>
      </c>
      <c r="C58" s="632"/>
      <c r="D58" s="7">
        <v>0</v>
      </c>
      <c r="E58" s="32">
        <v>0</v>
      </c>
      <c r="F58" s="14"/>
      <c r="G58" s="27" t="str">
        <f t="shared" si="12"/>
        <v/>
      </c>
      <c r="H58" s="36"/>
      <c r="I58" s="34">
        <f t="shared" si="10"/>
        <v>0</v>
      </c>
      <c r="J58" s="301">
        <f t="shared" si="13"/>
        <v>0</v>
      </c>
      <c r="K58" s="35"/>
      <c r="L58" s="416">
        <v>87.550000000000011</v>
      </c>
    </row>
  </sheetData>
  <sheetProtection algorithmName="SHA-512" hashValue="t3SMsuBibDc6sIYJ4va+Gyb3gxXRGiJnywWkNxCcL1m8KC9Sek2s/NdfnxFNtm0ZTcXw06xu2rl2fyLjze75Ig==" saltValue="1ZOKoFEy1g+yCF683QeSxQ==" spinCount="100000" sheet="1" objects="1" scenarios="1" selectLockedCells="1"/>
  <conditionalFormatting sqref="B1:C1 B3:B27">
    <cfRule type="duplicateValues" dxfId="20" priority="12" stopIfTrue="1"/>
  </conditionalFormatting>
  <conditionalFormatting sqref="B32:C32 B34:C58">
    <cfRule type="duplicateValues" dxfId="19" priority="6" stopIfTrue="1"/>
  </conditionalFormatting>
  <conditionalFormatting sqref="D3:E27">
    <cfRule type="cellIs" dxfId="18" priority="7" stopIfTrue="1" operator="equal">
      <formula>0</formula>
    </cfRule>
  </conditionalFormatting>
  <conditionalFormatting sqref="D34:E58">
    <cfRule type="cellIs" dxfId="17" priority="1" stopIfTrue="1" operator="equal">
      <formula>0</formula>
    </cfRule>
  </conditionalFormatting>
  <conditionalFormatting sqref="F3:F27 I3:I27">
    <cfRule type="cellIs" dxfId="16" priority="9" stopIfTrue="1" operator="notEqual">
      <formula>""""""</formula>
    </cfRule>
  </conditionalFormatting>
  <conditionalFormatting sqref="F34:F58 I34:I58">
    <cfRule type="cellIs" dxfId="15" priority="3" stopIfTrue="1" operator="notEqual">
      <formula>""""""</formula>
    </cfRule>
  </conditionalFormatting>
  <conditionalFormatting sqref="G3:G27 J3:J27">
    <cfRule type="cellIs" dxfId="14" priority="10" stopIfTrue="1" operator="notEqual">
      <formula>1</formula>
    </cfRule>
    <cfRule type="cellIs" dxfId="13" priority="11" stopIfTrue="1" operator="equal">
      <formula>1</formula>
    </cfRule>
  </conditionalFormatting>
  <conditionalFormatting sqref="G34:G58 J34:J58">
    <cfRule type="cellIs" dxfId="12" priority="4" stopIfTrue="1" operator="notEqual">
      <formula>1</formula>
    </cfRule>
    <cfRule type="cellIs" dxfId="11" priority="5" stopIfTrue="1" operator="equal">
      <formula>1</formula>
    </cfRule>
  </conditionalFormatting>
  <dataValidations count="1">
    <dataValidation type="decimal" allowBlank="1" showInputMessage="1" showErrorMessage="1" sqref="D34:D58 D3:D27" xr:uid="{583E3CCB-22A2-4A36-A977-5CB55A9A41E3}">
      <formula1>0</formula1>
      <formula2>999999999</formula2>
    </dataValidation>
  </dataValidations>
  <pageMargins left="0.7" right="0.7" top="0.75" bottom="0.75" header="0.3" footer="0.3"/>
  <pageSetup orientation="portrait" verticalDpi="0" r:id="rId1"/>
  <headerFooter>
    <oddFooter>&amp;RJanuary 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3DBD7-52B5-4C03-B0BF-36C7F8EF85C1}">
  <sheetPr codeName="Sheet2"/>
  <dimension ref="A1:S29"/>
  <sheetViews>
    <sheetView workbookViewId="0">
      <selection activeCell="V11" sqref="V11"/>
    </sheetView>
  </sheetViews>
  <sheetFormatPr defaultRowHeight="12.75" x14ac:dyDescent="0.2"/>
  <cols>
    <col min="2" max="2" width="13.85546875" customWidth="1"/>
    <col min="3" max="3" width="28.85546875" customWidth="1"/>
    <col min="4" max="4" width="8.28515625" hidden="1" customWidth="1"/>
    <col min="5" max="5" width="17.85546875" hidden="1" customWidth="1"/>
    <col min="6" max="6" width="24.85546875" hidden="1" customWidth="1"/>
    <col min="7" max="7" width="18.28515625" customWidth="1"/>
    <col min="8" max="8" width="16.5703125" hidden="1" customWidth="1"/>
    <col min="9" max="9" width="19.7109375" hidden="1" customWidth="1"/>
    <col min="10" max="10" width="19.42578125" hidden="1" customWidth="1"/>
    <col min="11" max="11" width="23.28515625" hidden="1" customWidth="1"/>
    <col min="12" max="13" width="19.7109375" hidden="1" customWidth="1"/>
    <col min="14" max="14" width="17.7109375" hidden="1" customWidth="1"/>
    <col min="15" max="15" width="18.7109375" hidden="1" customWidth="1"/>
    <col min="16" max="16" width="19.42578125" customWidth="1"/>
    <col min="17" max="17" width="12.5703125" customWidth="1"/>
    <col min="18" max="18" width="21.85546875" hidden="1" customWidth="1"/>
    <col min="19" max="19" width="28.85546875" hidden="1" customWidth="1"/>
  </cols>
  <sheetData>
    <row r="1" spans="1:19" ht="21" x14ac:dyDescent="0.35">
      <c r="A1" s="353" t="s">
        <v>468</v>
      </c>
      <c r="B1" s="354"/>
      <c r="C1" s="354"/>
      <c r="D1" s="353" t="s">
        <v>468</v>
      </c>
      <c r="E1" s="354"/>
      <c r="F1" s="354"/>
      <c r="G1" s="355" t="s">
        <v>469</v>
      </c>
      <c r="H1" s="356">
        <v>45258</v>
      </c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8"/>
    </row>
    <row r="2" spans="1:19" ht="15.75" thickBot="1" x14ac:dyDescent="0.3">
      <c r="A2" s="357"/>
      <c r="B2" s="357"/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8"/>
    </row>
    <row r="3" spans="1:19" ht="15.75" customHeight="1" thickBot="1" x14ac:dyDescent="0.25">
      <c r="A3" s="758" t="s">
        <v>7</v>
      </c>
      <c r="B3" s="759"/>
      <c r="C3" s="762" t="s">
        <v>470</v>
      </c>
      <c r="D3" s="758" t="s">
        <v>7</v>
      </c>
      <c r="E3" s="759"/>
      <c r="F3" s="762" t="s">
        <v>470</v>
      </c>
      <c r="G3" s="762" t="s">
        <v>46</v>
      </c>
      <c r="H3" s="758" t="s">
        <v>471</v>
      </c>
      <c r="I3" s="759"/>
      <c r="J3" s="766" t="s">
        <v>472</v>
      </c>
      <c r="K3" s="767"/>
      <c r="L3" s="768" t="s">
        <v>473</v>
      </c>
      <c r="M3" s="766" t="s">
        <v>474</v>
      </c>
      <c r="N3" s="767"/>
      <c r="O3" s="768" t="s">
        <v>475</v>
      </c>
      <c r="P3" s="766" t="s">
        <v>476</v>
      </c>
      <c r="Q3" s="767"/>
      <c r="R3" s="768" t="s">
        <v>477</v>
      </c>
      <c r="S3" s="764" t="s">
        <v>478</v>
      </c>
    </row>
    <row r="4" spans="1:19" ht="15.75" thickBot="1" x14ac:dyDescent="0.3">
      <c r="A4" s="760"/>
      <c r="B4" s="761"/>
      <c r="C4" s="763"/>
      <c r="D4" s="760"/>
      <c r="E4" s="761"/>
      <c r="F4" s="763"/>
      <c r="G4" s="763"/>
      <c r="H4" s="359" t="s">
        <v>479</v>
      </c>
      <c r="I4" s="360" t="s">
        <v>480</v>
      </c>
      <c r="J4" s="360" t="s">
        <v>479</v>
      </c>
      <c r="K4" s="360" t="s">
        <v>480</v>
      </c>
      <c r="L4" s="769"/>
      <c r="M4" s="360" t="s">
        <v>479</v>
      </c>
      <c r="N4" s="360" t="s">
        <v>480</v>
      </c>
      <c r="O4" s="769"/>
      <c r="P4" s="360" t="s">
        <v>479</v>
      </c>
      <c r="Q4" s="360" t="s">
        <v>480</v>
      </c>
      <c r="R4" s="769"/>
      <c r="S4" s="765"/>
    </row>
    <row r="5" spans="1:19" ht="15.75" x14ac:dyDescent="0.2">
      <c r="A5" s="361">
        <v>1</v>
      </c>
      <c r="B5" s="361" t="s">
        <v>481</v>
      </c>
      <c r="C5" s="362" t="s">
        <v>438</v>
      </c>
      <c r="D5" s="361">
        <v>1</v>
      </c>
      <c r="E5" s="361" t="s">
        <v>481</v>
      </c>
      <c r="F5" s="362" t="s">
        <v>438</v>
      </c>
      <c r="G5" s="363" t="s">
        <v>482</v>
      </c>
      <c r="H5" s="364">
        <v>400</v>
      </c>
      <c r="I5" s="365">
        <v>400</v>
      </c>
      <c r="J5" s="365">
        <f>400*1.05</f>
        <v>420</v>
      </c>
      <c r="K5" s="365">
        <f>J5</f>
        <v>420</v>
      </c>
      <c r="L5" s="366"/>
      <c r="M5" s="365">
        <f>J5*1.2</f>
        <v>504</v>
      </c>
      <c r="N5" s="365">
        <f>M5</f>
        <v>504</v>
      </c>
      <c r="O5" s="366"/>
      <c r="P5" s="365">
        <f>M5*1.2</f>
        <v>604.79999999999995</v>
      </c>
      <c r="Q5" s="365">
        <f>P5</f>
        <v>604.79999999999995</v>
      </c>
      <c r="R5" s="366"/>
      <c r="S5" s="367" t="s">
        <v>483</v>
      </c>
    </row>
    <row r="6" spans="1:19" ht="15.75" x14ac:dyDescent="0.2">
      <c r="A6" s="361">
        <v>2</v>
      </c>
      <c r="B6" s="361" t="s">
        <v>481</v>
      </c>
      <c r="C6" s="362" t="s">
        <v>439</v>
      </c>
      <c r="D6" s="361">
        <v>2</v>
      </c>
      <c r="E6" s="361" t="s">
        <v>481</v>
      </c>
      <c r="F6" s="362" t="s">
        <v>439</v>
      </c>
      <c r="G6" s="363" t="s">
        <v>482</v>
      </c>
      <c r="H6" s="368">
        <v>250</v>
      </c>
      <c r="I6" s="369">
        <v>250</v>
      </c>
      <c r="J6" s="369">
        <f>250*1.05</f>
        <v>262.5</v>
      </c>
      <c r="K6" s="365">
        <f>J6</f>
        <v>262.5</v>
      </c>
      <c r="L6" s="370"/>
      <c r="M6" s="369">
        <f>J6*1.2</f>
        <v>315</v>
      </c>
      <c r="N6" s="365">
        <f>M6</f>
        <v>315</v>
      </c>
      <c r="O6" s="370"/>
      <c r="P6" s="369">
        <f>M6*1.2</f>
        <v>378</v>
      </c>
      <c r="Q6" s="365">
        <f>P6</f>
        <v>378</v>
      </c>
      <c r="R6" s="370"/>
      <c r="S6" s="367" t="s">
        <v>483</v>
      </c>
    </row>
    <row r="7" spans="1:19" ht="47.25" x14ac:dyDescent="0.2">
      <c r="A7" s="361">
        <v>3</v>
      </c>
      <c r="B7" s="361" t="s">
        <v>481</v>
      </c>
      <c r="C7" s="371" t="s">
        <v>440</v>
      </c>
      <c r="D7" s="361">
        <v>3</v>
      </c>
      <c r="E7" s="361" t="s">
        <v>481</v>
      </c>
      <c r="F7" s="371" t="s">
        <v>440</v>
      </c>
      <c r="G7" s="363" t="s">
        <v>484</v>
      </c>
      <c r="H7" s="368">
        <v>2.5</v>
      </c>
      <c r="I7" s="369">
        <v>3.5</v>
      </c>
      <c r="J7" s="369">
        <f>0.88*1.554+3.11*1.554</f>
        <v>6.2004599999999996</v>
      </c>
      <c r="K7" s="369">
        <f t="shared" ref="K7:K29" si="0">I7/H7*J7</f>
        <v>8.6806439999999991</v>
      </c>
      <c r="L7" s="370" t="s">
        <v>485</v>
      </c>
      <c r="M7" s="369">
        <f>1.28+4.29</f>
        <v>5.57</v>
      </c>
      <c r="N7" s="369">
        <f>K7/J7*M7</f>
        <v>7.798</v>
      </c>
      <c r="O7" s="370" t="s">
        <v>485</v>
      </c>
      <c r="P7" s="369">
        <f>1.66+5.66</f>
        <v>7.32</v>
      </c>
      <c r="Q7" s="369">
        <f>N7/M7*P7</f>
        <v>10.247999999999999</v>
      </c>
      <c r="R7" s="370" t="s">
        <v>485</v>
      </c>
      <c r="S7" s="367"/>
    </row>
    <row r="8" spans="1:19" ht="31.5" x14ac:dyDescent="0.25">
      <c r="A8" s="361">
        <v>4</v>
      </c>
      <c r="B8" s="361" t="s">
        <v>481</v>
      </c>
      <c r="C8" s="362" t="s">
        <v>441</v>
      </c>
      <c r="D8" s="361">
        <v>4</v>
      </c>
      <c r="E8" s="361" t="s">
        <v>481</v>
      </c>
      <c r="F8" s="362" t="s">
        <v>441</v>
      </c>
      <c r="G8" s="363" t="s">
        <v>486</v>
      </c>
      <c r="H8" s="372">
        <v>320</v>
      </c>
      <c r="I8" s="373">
        <v>420</v>
      </c>
      <c r="J8" s="373">
        <f>1.82*170*1.64</f>
        <v>507.41600000000005</v>
      </c>
      <c r="K8" s="373">
        <f t="shared" si="0"/>
        <v>665.98350000000005</v>
      </c>
      <c r="L8" s="370" t="s">
        <v>487</v>
      </c>
      <c r="M8" s="373">
        <f>2.43*170</f>
        <v>413.1</v>
      </c>
      <c r="N8" s="369">
        <f t="shared" ref="N8:N29" si="1">K8/J8*M8</f>
        <v>542.19375000000002</v>
      </c>
      <c r="O8" s="370" t="s">
        <v>487</v>
      </c>
      <c r="P8" s="373">
        <f>3.02*170</f>
        <v>513.4</v>
      </c>
      <c r="Q8" s="369">
        <f t="shared" ref="Q8:Q15" si="2">N8/M8*P8</f>
        <v>673.83749999999998</v>
      </c>
      <c r="R8" s="370" t="s">
        <v>487</v>
      </c>
      <c r="S8" s="374"/>
    </row>
    <row r="9" spans="1:19" ht="31.5" x14ac:dyDescent="0.25">
      <c r="A9" s="361">
        <v>5</v>
      </c>
      <c r="B9" s="361" t="s">
        <v>481</v>
      </c>
      <c r="C9" s="362" t="s">
        <v>444</v>
      </c>
      <c r="D9" s="361">
        <v>5</v>
      </c>
      <c r="E9" s="361" t="s">
        <v>481</v>
      </c>
      <c r="F9" s="362" t="s">
        <v>444</v>
      </c>
      <c r="G9" s="363" t="s">
        <v>488</v>
      </c>
      <c r="H9" s="368">
        <v>1.8</v>
      </c>
      <c r="I9" s="369">
        <v>2.5</v>
      </c>
      <c r="J9" s="369">
        <f>1.82*1.64</f>
        <v>2.9847999999999999</v>
      </c>
      <c r="K9" s="369">
        <f t="shared" si="0"/>
        <v>4.1455555555555552</v>
      </c>
      <c r="L9" s="370" t="s">
        <v>489</v>
      </c>
      <c r="M9" s="369">
        <f>2.43</f>
        <v>2.4300000000000002</v>
      </c>
      <c r="N9" s="369">
        <f t="shared" si="1"/>
        <v>3.375</v>
      </c>
      <c r="O9" s="370" t="s">
        <v>489</v>
      </c>
      <c r="P9" s="369">
        <v>3.02</v>
      </c>
      <c r="Q9" s="369">
        <f t="shared" si="2"/>
        <v>4.1944444444444446</v>
      </c>
      <c r="R9" s="370" t="s">
        <v>489</v>
      </c>
      <c r="S9" s="374"/>
    </row>
    <row r="10" spans="1:19" ht="31.5" x14ac:dyDescent="0.25">
      <c r="A10" s="361">
        <v>6</v>
      </c>
      <c r="B10" s="361" t="s">
        <v>481</v>
      </c>
      <c r="C10" s="371" t="s">
        <v>445</v>
      </c>
      <c r="D10" s="361">
        <v>6</v>
      </c>
      <c r="E10" s="361" t="s">
        <v>481</v>
      </c>
      <c r="F10" s="371" t="s">
        <v>445</v>
      </c>
      <c r="G10" s="363" t="s">
        <v>490</v>
      </c>
      <c r="H10" s="368">
        <v>55</v>
      </c>
      <c r="I10" s="369">
        <v>75</v>
      </c>
      <c r="J10" s="369">
        <f>72.5*1.095</f>
        <v>79.387500000000003</v>
      </c>
      <c r="K10" s="369">
        <f t="shared" si="0"/>
        <v>108.25568181818181</v>
      </c>
      <c r="L10" s="370" t="s">
        <v>491</v>
      </c>
      <c r="M10" s="369">
        <v>77.959999999999994</v>
      </c>
      <c r="N10" s="369">
        <f t="shared" si="1"/>
        <v>106.3090909090909</v>
      </c>
      <c r="O10" s="370" t="s">
        <v>491</v>
      </c>
      <c r="P10" s="369">
        <v>97.84</v>
      </c>
      <c r="Q10" s="369">
        <f t="shared" si="2"/>
        <v>133.41818181818181</v>
      </c>
      <c r="R10" s="370" t="s">
        <v>491</v>
      </c>
      <c r="S10" s="374"/>
    </row>
    <row r="11" spans="1:19" ht="31.5" x14ac:dyDescent="0.25">
      <c r="A11" s="361">
        <v>7</v>
      </c>
      <c r="B11" s="361" t="s">
        <v>481</v>
      </c>
      <c r="C11" s="362" t="s">
        <v>446</v>
      </c>
      <c r="D11" s="361">
        <v>7</v>
      </c>
      <c r="E11" s="361" t="s">
        <v>481</v>
      </c>
      <c r="F11" s="362" t="s">
        <v>446</v>
      </c>
      <c r="G11" s="363" t="s">
        <v>490</v>
      </c>
      <c r="H11" s="368">
        <v>260</v>
      </c>
      <c r="I11" s="369">
        <v>275</v>
      </c>
      <c r="J11" s="369">
        <f>262*1.305</f>
        <v>341.90999999999997</v>
      </c>
      <c r="K11" s="369">
        <f t="shared" si="0"/>
        <v>361.63557692307688</v>
      </c>
      <c r="L11" s="370" t="s">
        <v>492</v>
      </c>
      <c r="M11" s="369">
        <f>330.5</f>
        <v>330.5</v>
      </c>
      <c r="N11" s="369">
        <f t="shared" si="1"/>
        <v>349.56730769230768</v>
      </c>
      <c r="O11" s="370" t="s">
        <v>492</v>
      </c>
      <c r="P11" s="369">
        <f>398.59</f>
        <v>398.59</v>
      </c>
      <c r="Q11" s="369">
        <f t="shared" si="2"/>
        <v>421.58557692307693</v>
      </c>
      <c r="R11" s="370" t="s">
        <v>492</v>
      </c>
      <c r="S11" s="374"/>
    </row>
    <row r="12" spans="1:19" ht="31.5" x14ac:dyDescent="0.25">
      <c r="A12" s="361">
        <v>8</v>
      </c>
      <c r="B12" s="361" t="s">
        <v>481</v>
      </c>
      <c r="C12" s="362" t="s">
        <v>447</v>
      </c>
      <c r="D12" s="361">
        <v>8</v>
      </c>
      <c r="E12" s="361" t="s">
        <v>481</v>
      </c>
      <c r="F12" s="362" t="s">
        <v>447</v>
      </c>
      <c r="G12" s="363" t="s">
        <v>490</v>
      </c>
      <c r="H12" s="368">
        <v>115</v>
      </c>
      <c r="I12" s="369">
        <v>150</v>
      </c>
      <c r="J12" s="369">
        <f>149*1.096</f>
        <v>163.304</v>
      </c>
      <c r="K12" s="369">
        <f t="shared" si="0"/>
        <v>213.00521739130434</v>
      </c>
      <c r="L12" s="370" t="s">
        <v>493</v>
      </c>
      <c r="M12" s="369">
        <v>180.95</v>
      </c>
      <c r="N12" s="369">
        <f t="shared" si="1"/>
        <v>236.02173913043478</v>
      </c>
      <c r="O12" s="370" t="s">
        <v>493</v>
      </c>
      <c r="P12" s="369">
        <v>176.18</v>
      </c>
      <c r="Q12" s="369">
        <f t="shared" si="2"/>
        <v>229.8</v>
      </c>
      <c r="R12" s="370" t="s">
        <v>493</v>
      </c>
      <c r="S12" s="374"/>
    </row>
    <row r="13" spans="1:19" ht="15.75" x14ac:dyDescent="0.2">
      <c r="A13" s="361">
        <v>9</v>
      </c>
      <c r="B13" s="361" t="s">
        <v>481</v>
      </c>
      <c r="C13" s="362" t="s">
        <v>448</v>
      </c>
      <c r="D13" s="361">
        <v>9</v>
      </c>
      <c r="E13" s="361" t="s">
        <v>481</v>
      </c>
      <c r="F13" s="362" t="s">
        <v>448</v>
      </c>
      <c r="G13" s="363" t="s">
        <v>490</v>
      </c>
      <c r="H13" s="368">
        <v>125</v>
      </c>
      <c r="I13" s="369">
        <v>300</v>
      </c>
      <c r="J13" s="369">
        <f>179*1.217</f>
        <v>217.84300000000002</v>
      </c>
      <c r="K13" s="369">
        <f t="shared" si="0"/>
        <v>522.82320000000004</v>
      </c>
      <c r="L13" s="370" t="s">
        <v>494</v>
      </c>
      <c r="M13" s="369">
        <v>267.33</v>
      </c>
      <c r="N13" s="369">
        <f t="shared" si="1"/>
        <v>641.59199999999998</v>
      </c>
      <c r="O13" s="370" t="s">
        <v>494</v>
      </c>
      <c r="P13" s="369">
        <v>338.74</v>
      </c>
      <c r="Q13" s="369">
        <f t="shared" si="2"/>
        <v>812.976</v>
      </c>
      <c r="R13" s="381" t="s">
        <v>494</v>
      </c>
      <c r="S13" s="375"/>
    </row>
    <row r="14" spans="1:19" ht="15.75" x14ac:dyDescent="0.2">
      <c r="A14" s="361">
        <v>10</v>
      </c>
      <c r="B14" s="361" t="s">
        <v>481</v>
      </c>
      <c r="C14" s="362" t="s">
        <v>449</v>
      </c>
      <c r="D14" s="361">
        <v>10</v>
      </c>
      <c r="E14" s="361" t="s">
        <v>481</v>
      </c>
      <c r="F14" s="362" t="s">
        <v>449</v>
      </c>
      <c r="G14" s="363" t="s">
        <v>490</v>
      </c>
      <c r="H14" s="372">
        <v>550</v>
      </c>
      <c r="I14" s="373">
        <v>800</v>
      </c>
      <c r="J14" s="373">
        <f>1890-68-68-123</f>
        <v>1631</v>
      </c>
      <c r="K14" s="373">
        <f t="shared" si="0"/>
        <v>2372.3636363636365</v>
      </c>
      <c r="L14" s="370"/>
      <c r="M14" s="373">
        <v>2171</v>
      </c>
      <c r="N14" s="369">
        <f t="shared" si="1"/>
        <v>3157.818181818182</v>
      </c>
      <c r="O14" s="370"/>
      <c r="P14" s="373">
        <v>2784</v>
      </c>
      <c r="Q14" s="369">
        <f t="shared" si="2"/>
        <v>4049.4545454545455</v>
      </c>
      <c r="R14" s="370"/>
      <c r="S14" s="376" t="s">
        <v>495</v>
      </c>
    </row>
    <row r="15" spans="1:19" ht="31.5" x14ac:dyDescent="0.25">
      <c r="A15" s="361">
        <v>11</v>
      </c>
      <c r="B15" s="361" t="s">
        <v>481</v>
      </c>
      <c r="C15" s="362" t="s">
        <v>450</v>
      </c>
      <c r="D15" s="361">
        <v>11</v>
      </c>
      <c r="E15" s="361" t="s">
        <v>481</v>
      </c>
      <c r="F15" s="362" t="s">
        <v>450</v>
      </c>
      <c r="G15" s="363" t="s">
        <v>490</v>
      </c>
      <c r="H15" s="372">
        <v>4600</v>
      </c>
      <c r="I15" s="373">
        <v>5000</v>
      </c>
      <c r="J15" s="373">
        <v>5580</v>
      </c>
      <c r="K15" s="373">
        <f t="shared" si="0"/>
        <v>6065.2173913043471</v>
      </c>
      <c r="L15" s="377"/>
      <c r="M15" s="373">
        <v>6588</v>
      </c>
      <c r="N15" s="369">
        <f t="shared" si="1"/>
        <v>7160.869565217391</v>
      </c>
      <c r="O15" s="377"/>
      <c r="P15" s="373">
        <v>10358</v>
      </c>
      <c r="Q15" s="369">
        <f t="shared" si="2"/>
        <v>11258.695652173912</v>
      </c>
      <c r="R15" s="377"/>
      <c r="S15" s="376" t="s">
        <v>496</v>
      </c>
    </row>
    <row r="16" spans="1:19" ht="30" x14ac:dyDescent="0.2">
      <c r="A16" s="361">
        <v>12</v>
      </c>
      <c r="B16" s="361" t="s">
        <v>481</v>
      </c>
      <c r="C16" s="362" t="s">
        <v>452</v>
      </c>
      <c r="D16" s="361">
        <v>12</v>
      </c>
      <c r="E16" s="361" t="s">
        <v>481</v>
      </c>
      <c r="F16" s="362" t="s">
        <v>452</v>
      </c>
      <c r="G16" s="363" t="s">
        <v>490</v>
      </c>
      <c r="H16" s="368">
        <v>145</v>
      </c>
      <c r="I16" s="369">
        <v>300</v>
      </c>
      <c r="J16" s="369">
        <f>46.5*1.554+155*2*1.217</f>
        <v>449.53100000000006</v>
      </c>
      <c r="K16" s="369">
        <f t="shared" si="0"/>
        <v>930.06413793103468</v>
      </c>
      <c r="L16" s="370" t="s">
        <v>497</v>
      </c>
      <c r="M16" s="369">
        <f>(11.92*18+226.53)*2</f>
        <v>882.18000000000006</v>
      </c>
      <c r="N16" s="369">
        <f>K16/J16*M16</f>
        <v>1825.2000000000003</v>
      </c>
      <c r="O16" s="370" t="s">
        <v>497</v>
      </c>
      <c r="P16" s="369">
        <f>(112.17*18+330.36)*2</f>
        <v>4698.84</v>
      </c>
      <c r="Q16" s="369">
        <f>N16/M16*P16</f>
        <v>9721.7379310344841</v>
      </c>
      <c r="R16" s="370" t="s">
        <v>497</v>
      </c>
      <c r="S16" s="378"/>
    </row>
    <row r="17" spans="1:19" ht="30" x14ac:dyDescent="0.2">
      <c r="A17" s="361">
        <v>13</v>
      </c>
      <c r="B17" s="361" t="s">
        <v>481</v>
      </c>
      <c r="C17" s="362" t="s">
        <v>453</v>
      </c>
      <c r="D17" s="361">
        <v>13</v>
      </c>
      <c r="E17" s="361" t="s">
        <v>481</v>
      </c>
      <c r="F17" s="362" t="s">
        <v>453</v>
      </c>
      <c r="G17" s="363" t="s">
        <v>490</v>
      </c>
      <c r="H17" s="372">
        <v>155</v>
      </c>
      <c r="I17" s="373">
        <v>350</v>
      </c>
      <c r="J17" s="369">
        <f>46.5*1.554+155*1.217</f>
        <v>260.89600000000002</v>
      </c>
      <c r="K17" s="373">
        <f t="shared" si="0"/>
        <v>589.12000000000012</v>
      </c>
      <c r="L17" s="370" t="s">
        <v>497</v>
      </c>
      <c r="M17" s="369">
        <f xml:space="preserve"> 11.92*15+ 226.53</f>
        <v>405.33000000000004</v>
      </c>
      <c r="N17" s="369">
        <f t="shared" si="1"/>
        <v>915.26129032258086</v>
      </c>
      <c r="O17" s="370" t="s">
        <v>497</v>
      </c>
      <c r="P17" s="369">
        <f xml:space="preserve"> 112.17*15+ 330.36</f>
        <v>2012.9099999999999</v>
      </c>
      <c r="Q17" s="369">
        <f t="shared" ref="Q17:Q29" si="3">N17/M17*P17</f>
        <v>4545.2806451612905</v>
      </c>
      <c r="R17" s="370" t="s">
        <v>497</v>
      </c>
      <c r="S17" s="375"/>
    </row>
    <row r="18" spans="1:19" ht="30" x14ac:dyDescent="0.25">
      <c r="A18" s="361">
        <v>14</v>
      </c>
      <c r="B18" s="361" t="s">
        <v>481</v>
      </c>
      <c r="C18" s="362" t="s">
        <v>454</v>
      </c>
      <c r="D18" s="361">
        <v>14</v>
      </c>
      <c r="E18" s="361" t="s">
        <v>481</v>
      </c>
      <c r="F18" s="362" t="s">
        <v>454</v>
      </c>
      <c r="G18" s="363" t="s">
        <v>486</v>
      </c>
      <c r="H18" s="368">
        <v>575</v>
      </c>
      <c r="I18" s="369">
        <v>1250</v>
      </c>
      <c r="J18" s="369">
        <f>(6.5+2.04)*140*1.238</f>
        <v>1480.1527999999998</v>
      </c>
      <c r="K18" s="369">
        <f t="shared" si="0"/>
        <v>3217.7234782608689</v>
      </c>
      <c r="L18" s="370" t="s">
        <v>498</v>
      </c>
      <c r="M18" s="369">
        <f>(9.63+2.84)*140</f>
        <v>1745.8000000000002</v>
      </c>
      <c r="N18" s="369">
        <f t="shared" si="1"/>
        <v>3795.217391304348</v>
      </c>
      <c r="O18" s="370" t="s">
        <v>498</v>
      </c>
      <c r="P18" s="369">
        <f>(9.83+3.65)*140</f>
        <v>1887.2</v>
      </c>
      <c r="Q18" s="369">
        <f t="shared" si="3"/>
        <v>4102.608695652174</v>
      </c>
      <c r="R18" s="370" t="s">
        <v>498</v>
      </c>
      <c r="S18" s="374"/>
    </row>
    <row r="19" spans="1:19" ht="45" x14ac:dyDescent="0.25">
      <c r="A19" s="361">
        <v>15</v>
      </c>
      <c r="B19" s="361" t="s">
        <v>481</v>
      </c>
      <c r="C19" s="362" t="s">
        <v>455</v>
      </c>
      <c r="D19" s="361">
        <v>15</v>
      </c>
      <c r="E19" s="361" t="s">
        <v>481</v>
      </c>
      <c r="F19" s="362" t="s">
        <v>455</v>
      </c>
      <c r="G19" s="363" t="s">
        <v>486</v>
      </c>
      <c r="H19" s="368">
        <v>515</v>
      </c>
      <c r="I19" s="369">
        <v>585</v>
      </c>
      <c r="J19" s="369">
        <f>(2.05*1.554+2.54*1.238)*140</f>
        <v>886.23079999999993</v>
      </c>
      <c r="K19" s="369">
        <f t="shared" si="0"/>
        <v>1006.6893553398057</v>
      </c>
      <c r="L19" s="370" t="s">
        <v>499</v>
      </c>
      <c r="M19" s="369">
        <f>(3.97+2.64)*140</f>
        <v>925.40000000000009</v>
      </c>
      <c r="N19" s="369">
        <f t="shared" si="1"/>
        <v>1051.1825242718446</v>
      </c>
      <c r="O19" s="370" t="s">
        <v>499</v>
      </c>
      <c r="P19" s="369">
        <f>(1.66+3.16)*140</f>
        <v>674.80000000000007</v>
      </c>
      <c r="Q19" s="369">
        <f t="shared" si="3"/>
        <v>766.52038834951463</v>
      </c>
      <c r="R19" s="370" t="s">
        <v>499</v>
      </c>
      <c r="S19" s="374"/>
    </row>
    <row r="20" spans="1:19" ht="31.5" x14ac:dyDescent="0.25">
      <c r="A20" s="361">
        <v>16</v>
      </c>
      <c r="B20" s="361" t="s">
        <v>481</v>
      </c>
      <c r="C20" s="362" t="s">
        <v>456</v>
      </c>
      <c r="D20" s="361">
        <v>16</v>
      </c>
      <c r="E20" s="361" t="s">
        <v>481</v>
      </c>
      <c r="F20" s="362" t="s">
        <v>456</v>
      </c>
      <c r="G20" s="363" t="s">
        <v>484</v>
      </c>
      <c r="H20" s="368">
        <v>80</v>
      </c>
      <c r="I20" s="369">
        <v>105</v>
      </c>
      <c r="J20" s="369">
        <f>23.5*1.096*5</f>
        <v>128.78</v>
      </c>
      <c r="K20" s="369">
        <f t="shared" si="0"/>
        <v>169.02375000000001</v>
      </c>
      <c r="L20" s="370" t="s">
        <v>500</v>
      </c>
      <c r="M20" s="369">
        <f>33.22*5</f>
        <v>166.1</v>
      </c>
      <c r="N20" s="369">
        <f t="shared" si="1"/>
        <v>218.00624999999999</v>
      </c>
      <c r="O20" s="370" t="s">
        <v>500</v>
      </c>
      <c r="P20" s="369">
        <f>43.56*5</f>
        <v>217.8</v>
      </c>
      <c r="Q20" s="369">
        <f t="shared" si="3"/>
        <v>285.86250000000001</v>
      </c>
      <c r="R20" s="370" t="s">
        <v>500</v>
      </c>
      <c r="S20" s="374"/>
    </row>
    <row r="21" spans="1:19" ht="15.75" x14ac:dyDescent="0.25">
      <c r="A21" s="361">
        <v>17</v>
      </c>
      <c r="B21" s="361" t="s">
        <v>481</v>
      </c>
      <c r="C21" s="362" t="s">
        <v>457</v>
      </c>
      <c r="D21" s="361">
        <v>17</v>
      </c>
      <c r="E21" s="361" t="s">
        <v>481</v>
      </c>
      <c r="F21" s="362" t="s">
        <v>457</v>
      </c>
      <c r="G21" s="363" t="s">
        <v>484</v>
      </c>
      <c r="H21" s="368">
        <v>65</v>
      </c>
      <c r="I21" s="369">
        <v>75</v>
      </c>
      <c r="J21" s="369">
        <f>23.5*1.096*3</f>
        <v>77.268000000000001</v>
      </c>
      <c r="K21" s="369">
        <f t="shared" si="0"/>
        <v>89.155384615384605</v>
      </c>
      <c r="L21" s="370" t="s">
        <v>500</v>
      </c>
      <c r="M21" s="369">
        <f>33.22*3</f>
        <v>99.66</v>
      </c>
      <c r="N21" s="369">
        <f t="shared" si="1"/>
        <v>114.99230769230768</v>
      </c>
      <c r="O21" s="370" t="s">
        <v>500</v>
      </c>
      <c r="P21" s="369">
        <f>41.3*3</f>
        <v>123.89999999999999</v>
      </c>
      <c r="Q21" s="369">
        <f t="shared" si="3"/>
        <v>142.96153846153845</v>
      </c>
      <c r="R21" s="370" t="s">
        <v>500</v>
      </c>
      <c r="S21" s="374"/>
    </row>
    <row r="22" spans="1:19" ht="31.5" x14ac:dyDescent="0.25">
      <c r="A22" s="361">
        <v>18</v>
      </c>
      <c r="B22" s="361" t="s">
        <v>481</v>
      </c>
      <c r="C22" s="362" t="s">
        <v>458</v>
      </c>
      <c r="D22" s="361">
        <v>18</v>
      </c>
      <c r="E22" s="361" t="s">
        <v>481</v>
      </c>
      <c r="F22" s="362" t="s">
        <v>458</v>
      </c>
      <c r="G22" s="363" t="s">
        <v>490</v>
      </c>
      <c r="H22" s="368">
        <v>95</v>
      </c>
      <c r="I22" s="369">
        <v>125</v>
      </c>
      <c r="J22" s="369">
        <f>23.5*1.096*4</f>
        <v>103.024</v>
      </c>
      <c r="K22" s="369">
        <f t="shared" si="0"/>
        <v>135.55789473684212</v>
      </c>
      <c r="L22" s="370" t="s">
        <v>501</v>
      </c>
      <c r="M22" s="369">
        <f>33.22*4</f>
        <v>132.88</v>
      </c>
      <c r="N22" s="369">
        <f t="shared" si="1"/>
        <v>174.84210526315789</v>
      </c>
      <c r="O22" s="370" t="s">
        <v>501</v>
      </c>
      <c r="P22" s="369">
        <f>41.3*4</f>
        <v>165.2</v>
      </c>
      <c r="Q22" s="369">
        <f t="shared" si="3"/>
        <v>217.36842105263159</v>
      </c>
      <c r="R22" s="370" t="s">
        <v>501</v>
      </c>
      <c r="S22" s="374"/>
    </row>
    <row r="23" spans="1:19" ht="15.75" x14ac:dyDescent="0.25">
      <c r="A23" s="361">
        <v>19</v>
      </c>
      <c r="B23" s="361" t="s">
        <v>481</v>
      </c>
      <c r="C23" s="379" t="s">
        <v>459</v>
      </c>
      <c r="D23" s="361">
        <v>19</v>
      </c>
      <c r="E23" s="361" t="s">
        <v>481</v>
      </c>
      <c r="F23" s="379" t="s">
        <v>459</v>
      </c>
      <c r="G23" s="363" t="s">
        <v>488</v>
      </c>
      <c r="H23" s="368">
        <v>1.8</v>
      </c>
      <c r="I23" s="369">
        <v>2.5</v>
      </c>
      <c r="J23" s="369">
        <f>1.82*1.64</f>
        <v>2.9847999999999999</v>
      </c>
      <c r="K23" s="369">
        <f t="shared" si="0"/>
        <v>4.1455555555555552</v>
      </c>
      <c r="L23" s="370" t="s">
        <v>489</v>
      </c>
      <c r="M23" s="369">
        <f>2.43</f>
        <v>2.4300000000000002</v>
      </c>
      <c r="N23" s="369">
        <f t="shared" si="1"/>
        <v>3.375</v>
      </c>
      <c r="O23" s="370" t="s">
        <v>489</v>
      </c>
      <c r="P23" s="369">
        <f>3.24</f>
        <v>3.24</v>
      </c>
      <c r="Q23" s="369">
        <f t="shared" si="3"/>
        <v>4.5</v>
      </c>
      <c r="R23" s="370" t="s">
        <v>489</v>
      </c>
      <c r="S23" s="374"/>
    </row>
    <row r="24" spans="1:19" ht="30" x14ac:dyDescent="0.25">
      <c r="A24" s="361">
        <v>20</v>
      </c>
      <c r="B24" s="361" t="s">
        <v>481</v>
      </c>
      <c r="C24" s="379" t="s">
        <v>460</v>
      </c>
      <c r="D24" s="361">
        <v>20</v>
      </c>
      <c r="E24" s="361" t="s">
        <v>481</v>
      </c>
      <c r="F24" s="379" t="s">
        <v>460</v>
      </c>
      <c r="G24" s="363" t="s">
        <v>486</v>
      </c>
      <c r="H24" s="368">
        <v>690</v>
      </c>
      <c r="I24" s="369">
        <v>1170</v>
      </c>
      <c r="J24" s="369">
        <f>1.82*430*1.64</f>
        <v>1283.4639999999999</v>
      </c>
      <c r="K24" s="369">
        <f t="shared" si="0"/>
        <v>2176.3085217391304</v>
      </c>
      <c r="L24" s="370" t="s">
        <v>502</v>
      </c>
      <c r="M24" s="369">
        <f>2.43*430</f>
        <v>1044.9000000000001</v>
      </c>
      <c r="N24" s="369">
        <f t="shared" si="1"/>
        <v>1771.7869565217393</v>
      </c>
      <c r="O24" s="370" t="s">
        <v>502</v>
      </c>
      <c r="P24" s="369">
        <f>3.02*430</f>
        <v>1298.5999999999999</v>
      </c>
      <c r="Q24" s="369">
        <f t="shared" si="3"/>
        <v>2201.9739130434782</v>
      </c>
      <c r="R24" s="370" t="s">
        <v>502</v>
      </c>
      <c r="S24" s="374"/>
    </row>
    <row r="25" spans="1:19" ht="15.75" x14ac:dyDescent="0.25">
      <c r="A25" s="361">
        <v>21</v>
      </c>
      <c r="B25" s="361" t="s">
        <v>481</v>
      </c>
      <c r="C25" s="362" t="s">
        <v>461</v>
      </c>
      <c r="D25" s="361">
        <v>21</v>
      </c>
      <c r="E25" s="361" t="s">
        <v>481</v>
      </c>
      <c r="F25" s="362" t="s">
        <v>461</v>
      </c>
      <c r="G25" s="363" t="s">
        <v>484</v>
      </c>
      <c r="H25" s="368">
        <v>15</v>
      </c>
      <c r="I25" s="369">
        <v>20</v>
      </c>
      <c r="J25" s="369">
        <f>18.95*1.096</f>
        <v>20.769200000000001</v>
      </c>
      <c r="K25" s="369">
        <f t="shared" si="0"/>
        <v>27.692266666666669</v>
      </c>
      <c r="L25" s="370" t="s">
        <v>503</v>
      </c>
      <c r="M25" s="369">
        <v>26.97</v>
      </c>
      <c r="N25" s="369">
        <f t="shared" si="1"/>
        <v>35.959999999999994</v>
      </c>
      <c r="O25" s="370" t="s">
        <v>503</v>
      </c>
      <c r="P25" s="369">
        <v>43.56</v>
      </c>
      <c r="Q25" s="369">
        <f t="shared" si="3"/>
        <v>58.08</v>
      </c>
      <c r="R25" s="370" t="s">
        <v>503</v>
      </c>
      <c r="S25" s="374"/>
    </row>
    <row r="26" spans="1:19" ht="30" x14ac:dyDescent="0.25">
      <c r="A26" s="361">
        <v>22</v>
      </c>
      <c r="B26" s="361" t="s">
        <v>481</v>
      </c>
      <c r="C26" s="362" t="s">
        <v>462</v>
      </c>
      <c r="D26" s="361">
        <v>22</v>
      </c>
      <c r="E26" s="361" t="s">
        <v>481</v>
      </c>
      <c r="F26" s="362" t="s">
        <v>462</v>
      </c>
      <c r="G26" s="363" t="s">
        <v>504</v>
      </c>
      <c r="H26" s="368">
        <v>45</v>
      </c>
      <c r="I26" s="369">
        <v>60</v>
      </c>
      <c r="J26" s="369">
        <f>(3+1.5)*1.096*8.9+4.27*1.096*3</f>
        <v>57.934560000000005</v>
      </c>
      <c r="K26" s="369">
        <f t="shared" si="0"/>
        <v>77.246080000000006</v>
      </c>
      <c r="L26" s="370" t="s">
        <v>505</v>
      </c>
      <c r="M26" s="369">
        <f>(3+1.5)*1.096*8.9+4.27*1.096*3</f>
        <v>57.934560000000005</v>
      </c>
      <c r="N26" s="369">
        <f t="shared" si="1"/>
        <v>77.246080000000006</v>
      </c>
      <c r="O26" s="370" t="s">
        <v>505</v>
      </c>
      <c r="P26" s="369">
        <f>(3+1.5)*1.096*13.66+5.12*1.096*3</f>
        <v>84.205680000000001</v>
      </c>
      <c r="Q26" s="369">
        <f t="shared" si="3"/>
        <v>112.27423999999999</v>
      </c>
      <c r="R26" s="370" t="s">
        <v>505</v>
      </c>
      <c r="S26" s="374"/>
    </row>
    <row r="27" spans="1:19" ht="45" x14ac:dyDescent="0.2">
      <c r="A27" s="361">
        <v>23</v>
      </c>
      <c r="B27" s="361" t="s">
        <v>481</v>
      </c>
      <c r="C27" s="362" t="s">
        <v>464</v>
      </c>
      <c r="D27" s="361">
        <v>23</v>
      </c>
      <c r="E27" s="361" t="s">
        <v>481</v>
      </c>
      <c r="F27" s="362" t="s">
        <v>464</v>
      </c>
      <c r="G27" s="363" t="s">
        <v>490</v>
      </c>
      <c r="H27" s="368">
        <v>115</v>
      </c>
      <c r="I27" s="369">
        <v>150</v>
      </c>
      <c r="J27" s="369">
        <f>(0.9*1.554+3.2*1.554+9.45*1.217)*7</f>
        <v>125.10435000000001</v>
      </c>
      <c r="K27" s="369">
        <f t="shared" si="0"/>
        <v>163.17958695652175</v>
      </c>
      <c r="L27" s="370" t="s">
        <v>506</v>
      </c>
      <c r="M27" s="369">
        <f>(1.31+3.2+12.51)*7</f>
        <v>119.14</v>
      </c>
      <c r="N27" s="369">
        <f t="shared" si="1"/>
        <v>155.4</v>
      </c>
      <c r="O27" s="370" t="s">
        <v>506</v>
      </c>
      <c r="P27" s="369">
        <f>(1.69+4.6+15.35)*7</f>
        <v>151.48000000000002</v>
      </c>
      <c r="Q27" s="369">
        <f t="shared" si="3"/>
        <v>197.5826086956522</v>
      </c>
      <c r="R27" s="370" t="s">
        <v>506</v>
      </c>
      <c r="S27" s="380" t="s">
        <v>507</v>
      </c>
    </row>
    <row r="28" spans="1:19" ht="31.5" x14ac:dyDescent="0.2">
      <c r="A28" s="361">
        <v>24</v>
      </c>
      <c r="B28" s="361" t="s">
        <v>481</v>
      </c>
      <c r="C28" s="362" t="s">
        <v>465</v>
      </c>
      <c r="D28" s="361">
        <v>24</v>
      </c>
      <c r="E28" s="361" t="s">
        <v>481</v>
      </c>
      <c r="F28" s="362" t="s">
        <v>465</v>
      </c>
      <c r="G28" s="363" t="s">
        <v>490</v>
      </c>
      <c r="H28" s="368">
        <v>200</v>
      </c>
      <c r="I28" s="369">
        <v>425</v>
      </c>
      <c r="J28" s="369">
        <f>18.5*1.217*24</f>
        <v>540.34800000000007</v>
      </c>
      <c r="K28" s="369">
        <f t="shared" si="0"/>
        <v>1148.2395000000001</v>
      </c>
      <c r="L28" s="370" t="s">
        <v>508</v>
      </c>
      <c r="M28" s="369">
        <f>30.12*24</f>
        <v>722.88</v>
      </c>
      <c r="N28" s="369">
        <f t="shared" si="1"/>
        <v>1536.12</v>
      </c>
      <c r="O28" s="370" t="s">
        <v>508</v>
      </c>
      <c r="P28" s="369">
        <f>35.05*24</f>
        <v>841.19999999999993</v>
      </c>
      <c r="Q28" s="369">
        <f t="shared" si="3"/>
        <v>1787.55</v>
      </c>
      <c r="R28" s="370" t="s">
        <v>508</v>
      </c>
      <c r="S28" s="380" t="s">
        <v>509</v>
      </c>
    </row>
    <row r="29" spans="1:19" ht="31.5" x14ac:dyDescent="0.25">
      <c r="A29" s="361">
        <v>25</v>
      </c>
      <c r="B29" s="361" t="s">
        <v>481</v>
      </c>
      <c r="C29" s="362" t="s">
        <v>466</v>
      </c>
      <c r="D29" s="361">
        <v>25</v>
      </c>
      <c r="E29" s="361" t="s">
        <v>481</v>
      </c>
      <c r="F29" s="362" t="s">
        <v>466</v>
      </c>
      <c r="G29" s="363" t="s">
        <v>488</v>
      </c>
      <c r="H29" s="368">
        <v>12</v>
      </c>
      <c r="I29" s="369">
        <v>30</v>
      </c>
      <c r="J29" s="369">
        <f>18.5*1.217</f>
        <v>22.514500000000002</v>
      </c>
      <c r="K29" s="369">
        <f t="shared" si="0"/>
        <v>56.286250000000003</v>
      </c>
      <c r="L29" s="370" t="s">
        <v>508</v>
      </c>
      <c r="M29" s="369">
        <v>30.12</v>
      </c>
      <c r="N29" s="369">
        <f t="shared" si="1"/>
        <v>75.3</v>
      </c>
      <c r="O29" s="370" t="s">
        <v>508</v>
      </c>
      <c r="P29" s="369">
        <v>35.020000000000003</v>
      </c>
      <c r="Q29" s="369">
        <f t="shared" si="3"/>
        <v>87.550000000000011</v>
      </c>
      <c r="R29" s="370" t="s">
        <v>508</v>
      </c>
      <c r="S29" s="374"/>
    </row>
  </sheetData>
  <mergeCells count="13">
    <mergeCell ref="A3:B4"/>
    <mergeCell ref="C3:C4"/>
    <mergeCell ref="S3:S4"/>
    <mergeCell ref="D3:E4"/>
    <mergeCell ref="F3:F4"/>
    <mergeCell ref="G3:G4"/>
    <mergeCell ref="H3:I3"/>
    <mergeCell ref="J3:K3"/>
    <mergeCell ref="L3:L4"/>
    <mergeCell ref="M3:N3"/>
    <mergeCell ref="O3:O4"/>
    <mergeCell ref="P3:Q3"/>
    <mergeCell ref="R3:R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4CFF7-8918-4D0D-9607-02AE771ECB30}">
  <sheetPr codeName="Sheet3">
    <tabColor rgb="FF00B050"/>
    <pageSetUpPr fitToPage="1"/>
  </sheetPr>
  <dimension ref="A1:AV415"/>
  <sheetViews>
    <sheetView zoomScale="115" zoomScaleNormal="115" zoomScaleSheetLayoutView="100" workbookViewId="0">
      <selection activeCell="D4" sqref="D4"/>
    </sheetView>
  </sheetViews>
  <sheetFormatPr defaultRowHeight="12.75" x14ac:dyDescent="0.2"/>
  <cols>
    <col min="1" max="1" width="11.140625" style="416" customWidth="1"/>
    <col min="2" max="2" width="13.140625" style="416" customWidth="1"/>
    <col min="3" max="3" width="12" customWidth="1"/>
    <col min="4" max="4" width="15.28515625" customWidth="1"/>
    <col min="5" max="5" width="17.85546875" customWidth="1"/>
    <col min="6" max="6" width="11.140625" customWidth="1"/>
    <col min="7" max="7" width="18.140625" customWidth="1"/>
    <col min="8" max="8" width="23.28515625" customWidth="1"/>
    <col min="9" max="9" width="24.7109375" customWidth="1"/>
    <col min="10" max="10" width="23.85546875" customWidth="1"/>
    <col min="11" max="11" width="27.140625" customWidth="1"/>
    <col min="12" max="12" width="11.28515625" style="416" customWidth="1"/>
    <col min="13" max="13" width="9.140625" customWidth="1"/>
    <col min="14" max="14" width="12.5703125" hidden="1" customWidth="1"/>
    <col min="15" max="15" width="13.7109375" hidden="1" customWidth="1"/>
    <col min="16" max="16" width="18.85546875" hidden="1" customWidth="1"/>
    <col min="17" max="17" width="17.42578125" hidden="1" customWidth="1"/>
    <col min="18" max="18" width="13.85546875" hidden="1" customWidth="1"/>
    <col min="19" max="19" width="14.42578125" hidden="1" customWidth="1"/>
    <col min="20" max="20" width="12.5703125" hidden="1" customWidth="1"/>
    <col min="21" max="21" width="16.7109375" hidden="1" customWidth="1"/>
    <col min="22" max="22" width="18.140625" hidden="1" customWidth="1"/>
    <col min="23" max="28" width="15.28515625" hidden="1" customWidth="1"/>
    <col min="29" max="29" width="18.42578125" hidden="1" customWidth="1"/>
    <col min="30" max="30" width="20.85546875" hidden="1" customWidth="1"/>
    <col min="31" max="31" width="22.140625" hidden="1" customWidth="1"/>
    <col min="32" max="32" width="14.85546875" hidden="1" customWidth="1"/>
    <col min="33" max="33" width="13.7109375" hidden="1" customWidth="1"/>
    <col min="34" max="37" width="15" hidden="1" customWidth="1"/>
    <col min="38" max="38" width="18.28515625" hidden="1" customWidth="1"/>
    <col min="39" max="40" width="15" hidden="1" customWidth="1"/>
    <col min="41" max="41" width="21.85546875" hidden="1" customWidth="1"/>
    <col min="42" max="42" width="15.140625" hidden="1" customWidth="1"/>
    <col min="43" max="43" width="23.140625" hidden="1" customWidth="1"/>
    <col min="44" max="44" width="23.85546875" hidden="1" customWidth="1"/>
    <col min="45" max="45" width="30.140625" hidden="1" customWidth="1"/>
    <col min="46" max="47" width="9.140625" hidden="1" customWidth="1"/>
    <col min="48" max="48" width="17" hidden="1" customWidth="1"/>
  </cols>
  <sheetData>
    <row r="1" spans="1:48" s="416" customFormat="1" ht="23.25" customHeight="1" thickBot="1" x14ac:dyDescent="0.25">
      <c r="A1" s="593" t="s">
        <v>2</v>
      </c>
      <c r="B1" s="770" t="str">
        <f>IF('Claimed Costs'!B7="","",'Claimed Costs'!B7)</f>
        <v/>
      </c>
      <c r="C1" s="771"/>
      <c r="D1" s="594" t="s">
        <v>3</v>
      </c>
      <c r="E1" s="595" t="str">
        <f>IF('Claimed Costs'!E7="","",'Claimed Costs'!E7)</f>
        <v/>
      </c>
      <c r="F1" s="596"/>
      <c r="G1" s="662"/>
      <c r="H1" s="566"/>
      <c r="I1" s="596"/>
      <c r="J1" s="596"/>
      <c r="K1" s="596"/>
      <c r="L1" s="596"/>
    </row>
    <row r="2" spans="1:48" ht="16.5" thickBot="1" x14ac:dyDescent="0.25">
      <c r="A2" s="596"/>
      <c r="B2" s="596"/>
      <c r="C2" s="597" t="s">
        <v>510</v>
      </c>
      <c r="D2" s="598">
        <f>COUNTA($D$4:$D$253)</f>
        <v>0</v>
      </c>
      <c r="E2" s="596"/>
      <c r="F2" s="596"/>
      <c r="G2" s="596"/>
      <c r="H2" s="596"/>
      <c r="I2" s="596"/>
      <c r="J2" s="596"/>
      <c r="K2" s="597" t="s">
        <v>511</v>
      </c>
      <c r="L2" s="599" t="str">
        <f>IFERROR(O11/D2, "0")</f>
        <v>0</v>
      </c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416"/>
    </row>
    <row r="3" spans="1:48" ht="39.75" thickBot="1" x14ac:dyDescent="0.3">
      <c r="A3" s="589" t="s">
        <v>512</v>
      </c>
      <c r="B3" s="600" t="s">
        <v>513</v>
      </c>
      <c r="C3" s="600" t="s">
        <v>514</v>
      </c>
      <c r="D3" s="601" t="s">
        <v>515</v>
      </c>
      <c r="E3" s="601" t="s">
        <v>516</v>
      </c>
      <c r="F3" s="602" t="s">
        <v>517</v>
      </c>
      <c r="G3" s="601" t="s">
        <v>518</v>
      </c>
      <c r="H3" s="601" t="s">
        <v>519</v>
      </c>
      <c r="I3" s="601" t="s">
        <v>520</v>
      </c>
      <c r="J3" s="601" t="s">
        <v>521</v>
      </c>
      <c r="K3" s="601" t="s">
        <v>522</v>
      </c>
      <c r="L3" s="601" t="s">
        <v>523</v>
      </c>
      <c r="M3" s="416"/>
      <c r="N3" s="416"/>
      <c r="O3" s="416"/>
      <c r="P3" s="416"/>
      <c r="Q3" s="416"/>
      <c r="R3" s="416"/>
      <c r="S3" s="416"/>
      <c r="T3" s="416"/>
      <c r="U3" s="416"/>
      <c r="V3" s="416"/>
      <c r="W3" s="416"/>
      <c r="X3" s="416"/>
      <c r="Y3" s="416"/>
      <c r="Z3" s="416"/>
      <c r="AA3" s="416"/>
      <c r="AB3" s="384" t="s">
        <v>524</v>
      </c>
      <c r="AC3" s="412" t="s">
        <v>525</v>
      </c>
      <c r="AD3" s="413" t="s">
        <v>526</v>
      </c>
      <c r="AE3" s="413" t="s">
        <v>527</v>
      </c>
      <c r="AF3" s="414" t="s">
        <v>528</v>
      </c>
      <c r="AG3" s="394" t="s">
        <v>529</v>
      </c>
      <c r="AH3" s="394" t="s">
        <v>530</v>
      </c>
      <c r="AI3" s="395" t="s">
        <v>531</v>
      </c>
      <c r="AJ3" s="395" t="s">
        <v>532</v>
      </c>
      <c r="AK3" s="415" t="s">
        <v>533</v>
      </c>
      <c r="AL3" s="396" t="s">
        <v>534</v>
      </c>
      <c r="AM3" s="396" t="s">
        <v>535</v>
      </c>
      <c r="AN3" s="396" t="s">
        <v>536</v>
      </c>
      <c r="AO3" s="404" t="s">
        <v>537</v>
      </c>
      <c r="AP3" s="407" t="s">
        <v>538</v>
      </c>
      <c r="AQ3" s="397" t="s">
        <v>539</v>
      </c>
      <c r="AR3" s="398" t="s">
        <v>540</v>
      </c>
      <c r="AS3" s="411" t="s">
        <v>541</v>
      </c>
      <c r="AT3" s="410"/>
      <c r="AU3" s="416" t="s">
        <v>542</v>
      </c>
      <c r="AV3" s="416"/>
    </row>
    <row r="4" spans="1:48" ht="39" x14ac:dyDescent="0.25">
      <c r="A4" s="590">
        <v>1</v>
      </c>
      <c r="B4" s="605"/>
      <c r="C4" s="302"/>
      <c r="D4" s="659"/>
      <c r="E4" s="305"/>
      <c r="F4" s="308"/>
      <c r="G4" s="303"/>
      <c r="H4" s="303"/>
      <c r="I4" s="303"/>
      <c r="J4" s="697"/>
      <c r="K4" s="307"/>
      <c r="L4" s="590" t="str">
        <f t="shared" ref="L4:L67" si="0">IF(B4="No","N/A",AS4)</f>
        <v/>
      </c>
      <c r="M4" s="416"/>
      <c r="N4" s="385" t="s">
        <v>543</v>
      </c>
      <c r="O4" s="386" t="s">
        <v>544</v>
      </c>
      <c r="P4" s="399" t="s">
        <v>545</v>
      </c>
      <c r="Q4" s="401" t="s">
        <v>546</v>
      </c>
      <c r="R4" s="401" t="s">
        <v>547</v>
      </c>
      <c r="S4" s="399" t="s">
        <v>528</v>
      </c>
      <c r="T4" s="399" t="s">
        <v>529</v>
      </c>
      <c r="U4" s="399" t="s">
        <v>530</v>
      </c>
      <c r="V4" s="400" t="s">
        <v>548</v>
      </c>
      <c r="W4" s="401" t="str">
        <f>'80% AMI Ref'!R4</f>
        <v>Electric Hot Water - Heat Pump</v>
      </c>
      <c r="X4" s="401" t="str">
        <f>'80% AMI Ref'!Q4</f>
        <v>Electric Heat ccASHP - split</v>
      </c>
      <c r="Y4" s="401" t="str">
        <f>'80% AMI Ref'!P4</f>
        <v>Electric Heat - Other</v>
      </c>
      <c r="Z4" s="402" t="str">
        <f>'80% AMI Ref'!N4</f>
        <v>Oil Heat</v>
      </c>
      <c r="AA4" s="401" t="str">
        <f>'80% AMI Ref'!O4</f>
        <v xml:space="preserve"> Gas Heat  </v>
      </c>
      <c r="AB4" s="405"/>
      <c r="AC4" s="389" t="e">
        <f>VLOOKUP($F4,$O$5:$P$10,2,0)</f>
        <v>#N/A</v>
      </c>
      <c r="AD4" s="390">
        <f t="shared" ref="AD4:AD16" si="1">IF(G4="Yes w/ Elec.Stove", VLOOKUP(AC4, $P$5:$Q$103, 2, FALSE), 0)</f>
        <v>0</v>
      </c>
      <c r="AE4" s="390">
        <f t="shared" ref="AE4:AE16" si="2">IF(G4="Yes, No Elec. Stove", VLOOKUP(AC4, $P$5:$R$103, 3, FALSE),0)</f>
        <v>0</v>
      </c>
      <c r="AF4" s="391">
        <f t="shared" ref="AF4:AF16" si="3">IF(H4="Yes ", VLOOKUP(AC4, $P$5:$S$103, 4, FALSE),0)</f>
        <v>0</v>
      </c>
      <c r="AG4" s="392">
        <f t="shared" ref="AG4:AG16" si="4">IF(I4="Oil", VLOOKUP(AC4, $P$5:$T$103, 5, FALSE), 0)</f>
        <v>0</v>
      </c>
      <c r="AH4" s="392">
        <f t="shared" ref="AH4:AH16" si="5">IF(I4="Gas", VLOOKUP(AC4, $P$5:$U$104, 6, FALSE), 0)</f>
        <v>0</v>
      </c>
      <c r="AI4" s="392">
        <f t="shared" ref="AI4:AI16" si="6">IF(I4="Electric - Other", VLOOKUP(AC4, $P$5:$V$104, 7, FALSE),0)</f>
        <v>0</v>
      </c>
      <c r="AJ4" s="393">
        <f t="shared" ref="AJ4:AJ16" si="7">IF(I4="Electric - Heat Pump", VLOOKUP(AC4, $P$5:$W$104, 8, FALSE),0)</f>
        <v>0</v>
      </c>
      <c r="AK4" s="391">
        <f t="shared" ref="AK4:AK16" si="8">IF(J4="Electric ccASHP - split", VLOOKUP(AC4, $P$5:$X$104, 9, FALSE),0)</f>
        <v>0</v>
      </c>
      <c r="AL4" s="391">
        <f t="shared" ref="AL4:AL16" si="9">IF(J4="Electric - Other", VLOOKUP(AC4, $P$5:$Y$104, 10, FALSE),0)</f>
        <v>0</v>
      </c>
      <c r="AM4" s="391">
        <f t="shared" ref="AM4:AM16" si="10">IF(J4="Oil ", VLOOKUP(AC4, $P$5:$Z$104, 11, FALSE),0)</f>
        <v>0</v>
      </c>
      <c r="AN4" s="391">
        <f t="shared" ref="AN4:AN16" si="11">IF(J4="Gas ",VLOOKUP(AC4,$P$5:$AA$104,12,FALSE),0)</f>
        <v>0</v>
      </c>
      <c r="AO4" s="403">
        <f t="shared" ref="AO4:AO16" si="12">K4</f>
        <v>0</v>
      </c>
      <c r="AP4" s="406"/>
      <c r="AQ4" s="390" t="e">
        <f t="shared" ref="AQ4:AQ16" si="13">AC4-AD4-AE4-AF4-AG4-AH4-AI4-AJ4-AK4-AL4-AM4-AN4-AO4</f>
        <v>#N/A</v>
      </c>
      <c r="AR4" s="408">
        <f t="shared" ref="AR4:AR16" si="14">E4</f>
        <v>0</v>
      </c>
      <c r="AS4" s="409" t="str">
        <f t="shared" ref="AS4:AS67" si="15">IFERROR(IF(AR4 &gt; AQ4, "No", IF(AR4 &lt; AQ4, "Yes", IF(AR4 = AQ4, "Yes", ""))), "")</f>
        <v/>
      </c>
      <c r="AT4" s="416"/>
      <c r="AU4" s="416" t="s">
        <v>549</v>
      </c>
      <c r="AV4" s="416"/>
    </row>
    <row r="5" spans="1:48" ht="15" x14ac:dyDescent="0.25">
      <c r="A5" s="591">
        <v>2</v>
      </c>
      <c r="B5" s="605"/>
      <c r="C5" s="302"/>
      <c r="D5" s="659"/>
      <c r="E5" s="305"/>
      <c r="F5" s="308"/>
      <c r="G5" s="303"/>
      <c r="H5" s="303"/>
      <c r="I5" s="303"/>
      <c r="J5" s="697"/>
      <c r="K5" s="307"/>
      <c r="L5" s="590" t="str">
        <f t="shared" si="0"/>
        <v/>
      </c>
      <c r="M5" s="416"/>
      <c r="N5" s="405"/>
      <c r="O5" s="387" t="s">
        <v>550</v>
      </c>
      <c r="P5" s="351">
        <f>'80% AMI Ref'!E22</f>
        <v>2268</v>
      </c>
      <c r="Q5" s="382">
        <f>'80% AMI Ref'!E5</f>
        <v>111</v>
      </c>
      <c r="R5" s="383">
        <f>'80% AMI Ref'!F5</f>
        <v>96</v>
      </c>
      <c r="S5" s="382">
        <f>'80% AMI Ref'!G5</f>
        <v>26</v>
      </c>
      <c r="T5" s="382">
        <f>'80% AMI Ref'!K5</f>
        <v>29</v>
      </c>
      <c r="U5" s="382">
        <f>'80% AMI Ref'!L5</f>
        <v>20</v>
      </c>
      <c r="V5" s="382">
        <f>'80% AMI Ref'!M5</f>
        <v>42</v>
      </c>
      <c r="W5" s="382">
        <f>'80% AMI Ref'!R5</f>
        <v>17</v>
      </c>
      <c r="X5" s="382">
        <f>'80% AMI Ref'!Q5</f>
        <v>31</v>
      </c>
      <c r="Y5" s="382">
        <f>'80% AMI Ref'!P5</f>
        <v>54</v>
      </c>
      <c r="Z5" s="382">
        <f>'80% AMI Ref'!N5</f>
        <v>94</v>
      </c>
      <c r="AA5" s="382">
        <f>'80% AMI Ref'!O5</f>
        <v>65</v>
      </c>
      <c r="AB5" s="405"/>
      <c r="AC5" s="389" t="e">
        <f t="shared" ref="AC5:AC16" si="16">VLOOKUP($F5,$O$5:$P$10,2,0)</f>
        <v>#N/A</v>
      </c>
      <c r="AD5" s="390">
        <f t="shared" si="1"/>
        <v>0</v>
      </c>
      <c r="AE5" s="390">
        <f t="shared" si="2"/>
        <v>0</v>
      </c>
      <c r="AF5" s="391">
        <f t="shared" si="3"/>
        <v>0</v>
      </c>
      <c r="AG5" s="392">
        <f t="shared" si="4"/>
        <v>0</v>
      </c>
      <c r="AH5" s="392">
        <f t="shared" si="5"/>
        <v>0</v>
      </c>
      <c r="AI5" s="392">
        <f t="shared" si="6"/>
        <v>0</v>
      </c>
      <c r="AJ5" s="393">
        <f t="shared" si="7"/>
        <v>0</v>
      </c>
      <c r="AK5" s="391">
        <f t="shared" si="8"/>
        <v>0</v>
      </c>
      <c r="AL5" s="391">
        <f t="shared" si="9"/>
        <v>0</v>
      </c>
      <c r="AM5" s="391">
        <f t="shared" si="10"/>
        <v>0</v>
      </c>
      <c r="AN5" s="391">
        <f t="shared" si="11"/>
        <v>0</v>
      </c>
      <c r="AO5" s="403">
        <f t="shared" si="12"/>
        <v>0</v>
      </c>
      <c r="AP5" s="405"/>
      <c r="AQ5" s="390" t="e">
        <f t="shared" si="13"/>
        <v>#N/A</v>
      </c>
      <c r="AR5" s="408">
        <f t="shared" si="14"/>
        <v>0</v>
      </c>
      <c r="AS5" s="409" t="str">
        <f t="shared" si="15"/>
        <v/>
      </c>
      <c r="AT5" s="416"/>
      <c r="AU5" s="416"/>
      <c r="AV5" s="416"/>
    </row>
    <row r="6" spans="1:48" ht="15" x14ac:dyDescent="0.25">
      <c r="A6" s="592">
        <v>3</v>
      </c>
      <c r="B6" s="604"/>
      <c r="C6" s="302"/>
      <c r="D6" s="659"/>
      <c r="E6" s="305"/>
      <c r="F6" s="308"/>
      <c r="G6" s="303"/>
      <c r="H6" s="303"/>
      <c r="I6" s="303"/>
      <c r="J6" s="697"/>
      <c r="K6" s="307"/>
      <c r="L6" s="590" t="str">
        <f t="shared" si="0"/>
        <v/>
      </c>
      <c r="M6" s="416"/>
      <c r="N6" s="405"/>
      <c r="O6" s="388">
        <v>1</v>
      </c>
      <c r="P6" s="351">
        <f>'80% AMI Ref'!E23</f>
        <v>2430</v>
      </c>
      <c r="Q6" s="382">
        <f>'80% AMI Ref'!E6</f>
        <v>127</v>
      </c>
      <c r="R6" s="383">
        <f>'80% AMI Ref'!F6</f>
        <v>109</v>
      </c>
      <c r="S6" s="382">
        <f>'80% AMI Ref'!G6</f>
        <v>29</v>
      </c>
      <c r="T6" s="382">
        <f>'80% AMI Ref'!K6</f>
        <v>34</v>
      </c>
      <c r="U6" s="382">
        <f>'80% AMI Ref'!L6</f>
        <v>23</v>
      </c>
      <c r="V6" s="382">
        <f>'80% AMI Ref'!M6</f>
        <v>84</v>
      </c>
      <c r="W6" s="382">
        <f>'80% AMI Ref'!R6</f>
        <v>34</v>
      </c>
      <c r="X6" s="382">
        <f>'80% AMI Ref'!Q6</f>
        <v>37</v>
      </c>
      <c r="Y6" s="382">
        <f>'80% AMI Ref'!P6</f>
        <v>63</v>
      </c>
      <c r="Z6" s="382">
        <f>'80% AMI Ref'!N6</f>
        <v>111</v>
      </c>
      <c r="AA6" s="382">
        <f>'80% AMI Ref'!O6</f>
        <v>77</v>
      </c>
      <c r="AB6" s="405"/>
      <c r="AC6" s="389" t="e">
        <f t="shared" si="16"/>
        <v>#N/A</v>
      </c>
      <c r="AD6" s="390">
        <f t="shared" si="1"/>
        <v>0</v>
      </c>
      <c r="AE6" s="390">
        <f t="shared" si="2"/>
        <v>0</v>
      </c>
      <c r="AF6" s="391">
        <f t="shared" si="3"/>
        <v>0</v>
      </c>
      <c r="AG6" s="392">
        <f t="shared" si="4"/>
        <v>0</v>
      </c>
      <c r="AH6" s="392">
        <f t="shared" si="5"/>
        <v>0</v>
      </c>
      <c r="AI6" s="392">
        <f t="shared" si="6"/>
        <v>0</v>
      </c>
      <c r="AJ6" s="393">
        <f t="shared" si="7"/>
        <v>0</v>
      </c>
      <c r="AK6" s="391">
        <f t="shared" si="8"/>
        <v>0</v>
      </c>
      <c r="AL6" s="391">
        <f t="shared" si="9"/>
        <v>0</v>
      </c>
      <c r="AM6" s="391">
        <f t="shared" si="10"/>
        <v>0</v>
      </c>
      <c r="AN6" s="391">
        <f t="shared" si="11"/>
        <v>0</v>
      </c>
      <c r="AO6" s="403">
        <f t="shared" si="12"/>
        <v>0</v>
      </c>
      <c r="AP6" s="405"/>
      <c r="AQ6" s="390" t="e">
        <f t="shared" si="13"/>
        <v>#N/A</v>
      </c>
      <c r="AR6" s="408">
        <f t="shared" si="14"/>
        <v>0</v>
      </c>
      <c r="AS6" s="409" t="str">
        <f t="shared" si="15"/>
        <v/>
      </c>
      <c r="AT6" s="416"/>
      <c r="AU6" s="416"/>
      <c r="AV6" s="416"/>
    </row>
    <row r="7" spans="1:48" ht="15" x14ac:dyDescent="0.25">
      <c r="A7" s="592">
        <v>4</v>
      </c>
      <c r="B7" s="604"/>
      <c r="C7" s="302"/>
      <c r="D7" s="659"/>
      <c r="E7" s="305"/>
      <c r="F7" s="308"/>
      <c r="G7" s="303"/>
      <c r="H7" s="303"/>
      <c r="I7" s="303"/>
      <c r="J7" s="307"/>
      <c r="K7" s="307"/>
      <c r="L7" s="590" t="str">
        <f t="shared" si="0"/>
        <v/>
      </c>
      <c r="M7" s="416"/>
      <c r="N7" s="405"/>
      <c r="O7" s="388">
        <v>2</v>
      </c>
      <c r="P7" s="351">
        <f>'80% AMI Ref'!E24</f>
        <v>2916</v>
      </c>
      <c r="Q7" s="382">
        <f>'80% AMI Ref'!E7</f>
        <v>170</v>
      </c>
      <c r="R7" s="383">
        <f>'80% AMI Ref'!F7</f>
        <v>144</v>
      </c>
      <c r="S7" s="382">
        <f>'80% AMI Ref'!G7</f>
        <v>33</v>
      </c>
      <c r="T7" s="382">
        <f>'80% AMI Ref'!K7</f>
        <v>49</v>
      </c>
      <c r="U7" s="382">
        <f>'80% AMI Ref'!L7</f>
        <v>33</v>
      </c>
      <c r="V7" s="382">
        <f>'80% AMI Ref'!M7</f>
        <v>169</v>
      </c>
      <c r="W7" s="382">
        <f>'80% AMI Ref'!R7</f>
        <v>69</v>
      </c>
      <c r="X7" s="382">
        <f>'80% AMI Ref'!Q7</f>
        <v>50</v>
      </c>
      <c r="Y7" s="382">
        <f>'80% AMI Ref'!P7</f>
        <v>84</v>
      </c>
      <c r="Z7" s="382">
        <f>'80% AMI Ref'!N7</f>
        <v>127</v>
      </c>
      <c r="AA7" s="382">
        <f>'80% AMI Ref'!O7</f>
        <v>89</v>
      </c>
      <c r="AB7" s="405"/>
      <c r="AC7" s="389" t="e">
        <f t="shared" si="16"/>
        <v>#N/A</v>
      </c>
      <c r="AD7" s="390">
        <f t="shared" si="1"/>
        <v>0</v>
      </c>
      <c r="AE7" s="390">
        <f t="shared" si="2"/>
        <v>0</v>
      </c>
      <c r="AF7" s="391">
        <f t="shared" si="3"/>
        <v>0</v>
      </c>
      <c r="AG7" s="392">
        <f t="shared" si="4"/>
        <v>0</v>
      </c>
      <c r="AH7" s="392">
        <f t="shared" si="5"/>
        <v>0</v>
      </c>
      <c r="AI7" s="392">
        <f t="shared" si="6"/>
        <v>0</v>
      </c>
      <c r="AJ7" s="393">
        <f t="shared" si="7"/>
        <v>0</v>
      </c>
      <c r="AK7" s="391">
        <f t="shared" si="8"/>
        <v>0</v>
      </c>
      <c r="AL7" s="391">
        <f t="shared" si="9"/>
        <v>0</v>
      </c>
      <c r="AM7" s="391">
        <f t="shared" si="10"/>
        <v>0</v>
      </c>
      <c r="AN7" s="391">
        <f t="shared" si="11"/>
        <v>0</v>
      </c>
      <c r="AO7" s="403">
        <f t="shared" si="12"/>
        <v>0</v>
      </c>
      <c r="AP7" s="405"/>
      <c r="AQ7" s="390" t="e">
        <f t="shared" si="13"/>
        <v>#N/A</v>
      </c>
      <c r="AR7" s="408">
        <f t="shared" si="14"/>
        <v>0</v>
      </c>
      <c r="AS7" s="409" t="str">
        <f t="shared" si="15"/>
        <v/>
      </c>
      <c r="AT7" s="416"/>
      <c r="AU7" s="416"/>
      <c r="AV7" s="416"/>
    </row>
    <row r="8" spans="1:48" ht="15" x14ac:dyDescent="0.25">
      <c r="A8" s="592">
        <v>5</v>
      </c>
      <c r="B8" s="604"/>
      <c r="C8" s="302"/>
      <c r="D8" s="659"/>
      <c r="E8" s="305"/>
      <c r="F8" s="308"/>
      <c r="G8" s="303"/>
      <c r="H8" s="303"/>
      <c r="I8" s="303"/>
      <c r="J8" s="307"/>
      <c r="K8" s="307"/>
      <c r="L8" s="590" t="str">
        <f t="shared" si="0"/>
        <v/>
      </c>
      <c r="M8" s="416"/>
      <c r="N8" s="405"/>
      <c r="O8" s="388">
        <v>3</v>
      </c>
      <c r="P8" s="351">
        <f>'80% AMI Ref'!E25</f>
        <v>3370</v>
      </c>
      <c r="Q8" s="382">
        <f>'80% AMI Ref'!E8</f>
        <v>212</v>
      </c>
      <c r="R8" s="383">
        <f>'80% AMI Ref'!F8</f>
        <v>178</v>
      </c>
      <c r="S8" s="382">
        <f>'80% AMI Ref'!G8</f>
        <v>37</v>
      </c>
      <c r="T8" s="382">
        <f>'80% AMI Ref'!K8</f>
        <v>64</v>
      </c>
      <c r="U8" s="382">
        <f>'80% AMI Ref'!L8</f>
        <v>44</v>
      </c>
      <c r="V8" s="382">
        <f>'80% AMI Ref'!M8</f>
        <v>211</v>
      </c>
      <c r="W8" s="382">
        <f>'80% AMI Ref'!R8</f>
        <v>86</v>
      </c>
      <c r="X8" s="382">
        <f>'80% AMI Ref'!Q8</f>
        <v>64</v>
      </c>
      <c r="Y8" s="382">
        <f>'80% AMI Ref'!P8</f>
        <v>105</v>
      </c>
      <c r="Z8" s="382">
        <f>'80% AMI Ref'!N8</f>
        <v>142</v>
      </c>
      <c r="AA8" s="382">
        <f>'80% AMI Ref'!O8</f>
        <v>98</v>
      </c>
      <c r="AB8" s="405"/>
      <c r="AC8" s="389" t="e">
        <f t="shared" si="16"/>
        <v>#N/A</v>
      </c>
      <c r="AD8" s="390">
        <f t="shared" si="1"/>
        <v>0</v>
      </c>
      <c r="AE8" s="390">
        <f t="shared" si="2"/>
        <v>0</v>
      </c>
      <c r="AF8" s="391">
        <f t="shared" si="3"/>
        <v>0</v>
      </c>
      <c r="AG8" s="392">
        <f t="shared" si="4"/>
        <v>0</v>
      </c>
      <c r="AH8" s="392">
        <f t="shared" si="5"/>
        <v>0</v>
      </c>
      <c r="AI8" s="392">
        <f t="shared" si="6"/>
        <v>0</v>
      </c>
      <c r="AJ8" s="393">
        <f t="shared" si="7"/>
        <v>0</v>
      </c>
      <c r="AK8" s="391">
        <f t="shared" si="8"/>
        <v>0</v>
      </c>
      <c r="AL8" s="391">
        <f t="shared" si="9"/>
        <v>0</v>
      </c>
      <c r="AM8" s="391">
        <f t="shared" si="10"/>
        <v>0</v>
      </c>
      <c r="AN8" s="391">
        <f t="shared" si="11"/>
        <v>0</v>
      </c>
      <c r="AO8" s="403">
        <f t="shared" si="12"/>
        <v>0</v>
      </c>
      <c r="AP8" s="405"/>
      <c r="AQ8" s="390" t="e">
        <f t="shared" si="13"/>
        <v>#N/A</v>
      </c>
      <c r="AR8" s="408">
        <f t="shared" si="14"/>
        <v>0</v>
      </c>
      <c r="AS8" s="409" t="str">
        <f t="shared" si="15"/>
        <v/>
      </c>
      <c r="AT8" s="416"/>
      <c r="AU8" s="416"/>
      <c r="AV8" s="416"/>
    </row>
    <row r="9" spans="1:48" ht="15" x14ac:dyDescent="0.25">
      <c r="A9" s="592">
        <v>6</v>
      </c>
      <c r="B9" s="604"/>
      <c r="C9" s="302"/>
      <c r="D9" s="659"/>
      <c r="E9" s="305"/>
      <c r="F9" s="308"/>
      <c r="G9" s="303"/>
      <c r="H9" s="303"/>
      <c r="I9" s="303"/>
      <c r="J9" s="307"/>
      <c r="K9" s="307"/>
      <c r="L9" s="590" t="str">
        <f t="shared" si="0"/>
        <v/>
      </c>
      <c r="M9" s="416"/>
      <c r="N9" s="405"/>
      <c r="O9" s="388">
        <v>4</v>
      </c>
      <c r="P9" s="351">
        <f>'80% AMI Ref'!E26</f>
        <v>3760</v>
      </c>
      <c r="Q9" s="382">
        <f>'80% AMI Ref'!E9</f>
        <v>255</v>
      </c>
      <c r="R9" s="383">
        <f>'80% AMI Ref'!F9</f>
        <v>213</v>
      </c>
      <c r="S9" s="382">
        <f>'80% AMI Ref'!G9</f>
        <v>41</v>
      </c>
      <c r="T9" s="382">
        <f>'80% AMI Ref'!K9</f>
        <v>79</v>
      </c>
      <c r="U9" s="382">
        <f>'80% AMI Ref'!L9</f>
        <v>54</v>
      </c>
      <c r="V9" s="382">
        <f>'80% AMI Ref'!M9</f>
        <v>254</v>
      </c>
      <c r="W9" s="382">
        <f>'80% AMI Ref'!R9</f>
        <v>104</v>
      </c>
      <c r="X9" s="382">
        <f>'80% AMI Ref'!Q9</f>
        <v>76</v>
      </c>
      <c r="Y9" s="382">
        <f>'80% AMI Ref'!P9</f>
        <v>126</v>
      </c>
      <c r="Z9" s="382">
        <f>'80% AMI Ref'!N9</f>
        <v>158</v>
      </c>
      <c r="AA9" s="382">
        <f>'80% AMI Ref'!O9</f>
        <v>109</v>
      </c>
      <c r="AB9" s="405"/>
      <c r="AC9" s="389" t="e">
        <f t="shared" si="16"/>
        <v>#N/A</v>
      </c>
      <c r="AD9" s="390">
        <f t="shared" si="1"/>
        <v>0</v>
      </c>
      <c r="AE9" s="390">
        <f t="shared" si="2"/>
        <v>0</v>
      </c>
      <c r="AF9" s="391">
        <f t="shared" si="3"/>
        <v>0</v>
      </c>
      <c r="AG9" s="392">
        <f t="shared" si="4"/>
        <v>0</v>
      </c>
      <c r="AH9" s="392">
        <f t="shared" si="5"/>
        <v>0</v>
      </c>
      <c r="AI9" s="392">
        <f t="shared" si="6"/>
        <v>0</v>
      </c>
      <c r="AJ9" s="393">
        <f t="shared" si="7"/>
        <v>0</v>
      </c>
      <c r="AK9" s="391">
        <f t="shared" si="8"/>
        <v>0</v>
      </c>
      <c r="AL9" s="391">
        <f t="shared" si="9"/>
        <v>0</v>
      </c>
      <c r="AM9" s="391">
        <f t="shared" si="10"/>
        <v>0</v>
      </c>
      <c r="AN9" s="391">
        <f t="shared" si="11"/>
        <v>0</v>
      </c>
      <c r="AO9" s="403">
        <f t="shared" si="12"/>
        <v>0</v>
      </c>
      <c r="AP9" s="405"/>
      <c r="AQ9" s="390" t="e">
        <f t="shared" si="13"/>
        <v>#N/A</v>
      </c>
      <c r="AR9" s="408">
        <f t="shared" si="14"/>
        <v>0</v>
      </c>
      <c r="AS9" s="409" t="str">
        <f t="shared" si="15"/>
        <v/>
      </c>
      <c r="AT9" s="416"/>
      <c r="AU9" s="416"/>
      <c r="AV9" s="416"/>
    </row>
    <row r="10" spans="1:48" ht="15" x14ac:dyDescent="0.25">
      <c r="A10" s="592">
        <v>7</v>
      </c>
      <c r="B10" s="604"/>
      <c r="C10" s="302"/>
      <c r="D10" s="659"/>
      <c r="E10" s="305"/>
      <c r="F10" s="308"/>
      <c r="G10" s="303"/>
      <c r="H10" s="303"/>
      <c r="I10" s="303"/>
      <c r="J10" s="307"/>
      <c r="K10" s="307"/>
      <c r="L10" s="590" t="str">
        <f t="shared" si="0"/>
        <v/>
      </c>
      <c r="M10" s="416"/>
      <c r="N10" s="405"/>
      <c r="O10" s="388">
        <v>5</v>
      </c>
      <c r="P10" s="351">
        <f>'80% AMI Ref'!E27</f>
        <v>4148</v>
      </c>
      <c r="Q10" s="382">
        <f>'80% AMI Ref'!E10</f>
        <v>298</v>
      </c>
      <c r="R10" s="383">
        <f>'80% AMI Ref'!F10</f>
        <v>248</v>
      </c>
      <c r="S10" s="382">
        <f>'80% AMI Ref'!G10</f>
        <v>45</v>
      </c>
      <c r="T10" s="382">
        <f>'80% AMI Ref'!K10</f>
        <v>93</v>
      </c>
      <c r="U10" s="382">
        <f>'80% AMI Ref'!L10</f>
        <v>64</v>
      </c>
      <c r="V10" s="382">
        <f>'80% AMI Ref'!M10</f>
        <v>296</v>
      </c>
      <c r="W10" s="382">
        <f>'80% AMI Ref'!R10</f>
        <v>121</v>
      </c>
      <c r="X10" s="382">
        <f>'80% AMI Ref'!Q10</f>
        <v>87</v>
      </c>
      <c r="Y10" s="382">
        <f>'80% AMI Ref'!P10</f>
        <v>147</v>
      </c>
      <c r="Z10" s="382">
        <f>'80% AMI Ref'!N10</f>
        <v>174</v>
      </c>
      <c r="AA10" s="382">
        <f>'80% AMI Ref'!O10</f>
        <v>120</v>
      </c>
      <c r="AB10" s="405"/>
      <c r="AC10" s="389" t="e">
        <f t="shared" si="16"/>
        <v>#N/A</v>
      </c>
      <c r="AD10" s="390">
        <f t="shared" si="1"/>
        <v>0</v>
      </c>
      <c r="AE10" s="390">
        <f t="shared" si="2"/>
        <v>0</v>
      </c>
      <c r="AF10" s="391">
        <f t="shared" si="3"/>
        <v>0</v>
      </c>
      <c r="AG10" s="392">
        <f t="shared" si="4"/>
        <v>0</v>
      </c>
      <c r="AH10" s="392">
        <f t="shared" si="5"/>
        <v>0</v>
      </c>
      <c r="AI10" s="392">
        <f t="shared" si="6"/>
        <v>0</v>
      </c>
      <c r="AJ10" s="393">
        <f t="shared" si="7"/>
        <v>0</v>
      </c>
      <c r="AK10" s="391">
        <f t="shared" si="8"/>
        <v>0</v>
      </c>
      <c r="AL10" s="391">
        <f t="shared" si="9"/>
        <v>0</v>
      </c>
      <c r="AM10" s="391">
        <f t="shared" si="10"/>
        <v>0</v>
      </c>
      <c r="AN10" s="391">
        <f t="shared" si="11"/>
        <v>0</v>
      </c>
      <c r="AO10" s="403">
        <f t="shared" si="12"/>
        <v>0</v>
      </c>
      <c r="AP10" s="405"/>
      <c r="AQ10" s="390" t="e">
        <f t="shared" si="13"/>
        <v>#N/A</v>
      </c>
      <c r="AR10" s="408">
        <f t="shared" si="14"/>
        <v>0</v>
      </c>
      <c r="AS10" s="409" t="str">
        <f t="shared" si="15"/>
        <v/>
      </c>
      <c r="AT10" s="416"/>
      <c r="AU10" s="416"/>
      <c r="AV10" s="416"/>
    </row>
    <row r="11" spans="1:48" ht="15" x14ac:dyDescent="0.25">
      <c r="A11" s="592">
        <v>8</v>
      </c>
      <c r="B11" s="604"/>
      <c r="C11" s="302"/>
      <c r="D11" s="659"/>
      <c r="E11" s="305"/>
      <c r="F11" s="308"/>
      <c r="G11" s="303"/>
      <c r="H11" s="303"/>
      <c r="I11" s="303"/>
      <c r="J11" s="307"/>
      <c r="K11" s="307"/>
      <c r="L11" s="590" t="str">
        <f t="shared" si="0"/>
        <v/>
      </c>
      <c r="M11" s="416"/>
      <c r="N11" s="405"/>
      <c r="O11" s="405">
        <f>COUNTIF(L4:L253,"Yes")</f>
        <v>0</v>
      </c>
      <c r="P11" s="406"/>
      <c r="Q11" s="405"/>
      <c r="R11" s="405"/>
      <c r="S11" s="405"/>
      <c r="T11" s="405"/>
      <c r="U11" s="405"/>
      <c r="V11" s="405"/>
      <c r="W11" s="405"/>
      <c r="X11" s="405"/>
      <c r="Y11" s="405"/>
      <c r="Z11" s="405"/>
      <c r="AA11" s="405"/>
      <c r="AB11" s="405"/>
      <c r="AC11" s="389" t="e">
        <f t="shared" si="16"/>
        <v>#N/A</v>
      </c>
      <c r="AD11" s="390">
        <f t="shared" si="1"/>
        <v>0</v>
      </c>
      <c r="AE11" s="390">
        <f t="shared" si="2"/>
        <v>0</v>
      </c>
      <c r="AF11" s="391">
        <f t="shared" si="3"/>
        <v>0</v>
      </c>
      <c r="AG11" s="392">
        <f t="shared" si="4"/>
        <v>0</v>
      </c>
      <c r="AH11" s="392">
        <f t="shared" si="5"/>
        <v>0</v>
      </c>
      <c r="AI11" s="392">
        <f t="shared" si="6"/>
        <v>0</v>
      </c>
      <c r="AJ11" s="393">
        <f t="shared" si="7"/>
        <v>0</v>
      </c>
      <c r="AK11" s="391">
        <f t="shared" si="8"/>
        <v>0</v>
      </c>
      <c r="AL11" s="391">
        <f t="shared" si="9"/>
        <v>0</v>
      </c>
      <c r="AM11" s="391">
        <f t="shared" si="10"/>
        <v>0</v>
      </c>
      <c r="AN11" s="391">
        <f t="shared" si="11"/>
        <v>0</v>
      </c>
      <c r="AO11" s="403">
        <f t="shared" si="12"/>
        <v>0</v>
      </c>
      <c r="AP11" s="405"/>
      <c r="AQ11" s="390" t="e">
        <f t="shared" si="13"/>
        <v>#N/A</v>
      </c>
      <c r="AR11" s="408">
        <f t="shared" si="14"/>
        <v>0</v>
      </c>
      <c r="AS11" s="409" t="str">
        <f t="shared" si="15"/>
        <v/>
      </c>
      <c r="AT11" s="416"/>
      <c r="AU11" s="416"/>
      <c r="AV11" s="416"/>
    </row>
    <row r="12" spans="1:48" ht="15" x14ac:dyDescent="0.25">
      <c r="A12" s="592">
        <v>9</v>
      </c>
      <c r="B12" s="604"/>
      <c r="C12" s="302"/>
      <c r="D12" s="659"/>
      <c r="E12" s="305"/>
      <c r="F12" s="308"/>
      <c r="G12" s="303"/>
      <c r="H12" s="303"/>
      <c r="I12" s="303"/>
      <c r="J12" s="307"/>
      <c r="K12" s="307"/>
      <c r="L12" s="590" t="str">
        <f t="shared" si="0"/>
        <v/>
      </c>
      <c r="M12" s="416"/>
      <c r="N12" s="405"/>
      <c r="O12" s="416"/>
      <c r="P12" s="405"/>
      <c r="Q12" s="405"/>
      <c r="R12" s="405"/>
      <c r="S12" s="405"/>
      <c r="T12" s="405"/>
      <c r="U12" s="405"/>
      <c r="V12" s="405"/>
      <c r="W12" s="405"/>
      <c r="X12" s="405"/>
      <c r="Y12" s="405"/>
      <c r="Z12" s="405"/>
      <c r="AA12" s="405"/>
      <c r="AB12" s="405"/>
      <c r="AC12" s="389" t="e">
        <f t="shared" si="16"/>
        <v>#N/A</v>
      </c>
      <c r="AD12" s="390">
        <f t="shared" si="1"/>
        <v>0</v>
      </c>
      <c r="AE12" s="390">
        <f t="shared" si="2"/>
        <v>0</v>
      </c>
      <c r="AF12" s="391">
        <f t="shared" si="3"/>
        <v>0</v>
      </c>
      <c r="AG12" s="392">
        <f t="shared" si="4"/>
        <v>0</v>
      </c>
      <c r="AH12" s="392">
        <f t="shared" si="5"/>
        <v>0</v>
      </c>
      <c r="AI12" s="392">
        <f t="shared" si="6"/>
        <v>0</v>
      </c>
      <c r="AJ12" s="393">
        <f t="shared" si="7"/>
        <v>0</v>
      </c>
      <c r="AK12" s="391">
        <f t="shared" si="8"/>
        <v>0</v>
      </c>
      <c r="AL12" s="391">
        <f t="shared" si="9"/>
        <v>0</v>
      </c>
      <c r="AM12" s="391">
        <f t="shared" si="10"/>
        <v>0</v>
      </c>
      <c r="AN12" s="391">
        <f t="shared" si="11"/>
        <v>0</v>
      </c>
      <c r="AO12" s="403">
        <f t="shared" si="12"/>
        <v>0</v>
      </c>
      <c r="AP12" s="405"/>
      <c r="AQ12" s="390" t="e">
        <f t="shared" si="13"/>
        <v>#N/A</v>
      </c>
      <c r="AR12" s="408">
        <f t="shared" si="14"/>
        <v>0</v>
      </c>
      <c r="AS12" s="409" t="str">
        <f t="shared" si="15"/>
        <v/>
      </c>
      <c r="AT12" s="416"/>
      <c r="AU12" s="416"/>
      <c r="AV12" s="416"/>
    </row>
    <row r="13" spans="1:48" ht="15.75" thickBot="1" x14ac:dyDescent="0.3">
      <c r="A13" s="592">
        <v>10</v>
      </c>
      <c r="B13" s="604"/>
      <c r="C13" s="302"/>
      <c r="D13" s="303"/>
      <c r="E13" s="305"/>
      <c r="F13" s="308"/>
      <c r="G13" s="303"/>
      <c r="H13" s="303"/>
      <c r="I13" s="303"/>
      <c r="J13" s="307"/>
      <c r="K13" s="307"/>
      <c r="L13" s="590" t="str">
        <f t="shared" si="0"/>
        <v/>
      </c>
      <c r="M13" s="416"/>
      <c r="N13" s="405"/>
      <c r="O13" s="416"/>
      <c r="P13" s="416"/>
      <c r="Q13" s="416"/>
      <c r="R13" s="416"/>
      <c r="S13" s="416"/>
      <c r="T13" s="416"/>
      <c r="U13" s="405"/>
      <c r="V13" s="405"/>
      <c r="W13" s="405"/>
      <c r="X13" s="405"/>
      <c r="Y13" s="405"/>
      <c r="Z13" s="405"/>
      <c r="AA13" s="405"/>
      <c r="AB13" s="405"/>
      <c r="AC13" s="389" t="e">
        <f t="shared" si="16"/>
        <v>#N/A</v>
      </c>
      <c r="AD13" s="390">
        <f t="shared" si="1"/>
        <v>0</v>
      </c>
      <c r="AE13" s="390">
        <f t="shared" si="2"/>
        <v>0</v>
      </c>
      <c r="AF13" s="391">
        <f t="shared" si="3"/>
        <v>0</v>
      </c>
      <c r="AG13" s="392">
        <f t="shared" si="4"/>
        <v>0</v>
      </c>
      <c r="AH13" s="392">
        <f t="shared" si="5"/>
        <v>0</v>
      </c>
      <c r="AI13" s="392">
        <f t="shared" si="6"/>
        <v>0</v>
      </c>
      <c r="AJ13" s="393">
        <f t="shared" si="7"/>
        <v>0</v>
      </c>
      <c r="AK13" s="391">
        <f t="shared" si="8"/>
        <v>0</v>
      </c>
      <c r="AL13" s="391">
        <f t="shared" si="9"/>
        <v>0</v>
      </c>
      <c r="AM13" s="391">
        <f t="shared" si="10"/>
        <v>0</v>
      </c>
      <c r="AN13" s="391">
        <f t="shared" si="11"/>
        <v>0</v>
      </c>
      <c r="AO13" s="403">
        <f t="shared" si="12"/>
        <v>0</v>
      </c>
      <c r="AP13" s="405"/>
      <c r="AQ13" s="390" t="e">
        <f t="shared" si="13"/>
        <v>#N/A</v>
      </c>
      <c r="AR13" s="408">
        <f t="shared" si="14"/>
        <v>0</v>
      </c>
      <c r="AS13" s="409" t="str">
        <f t="shared" si="15"/>
        <v/>
      </c>
      <c r="AT13" s="416"/>
      <c r="AU13" s="416"/>
      <c r="AV13" s="416"/>
    </row>
    <row r="14" spans="1:48" ht="15" x14ac:dyDescent="0.25">
      <c r="A14" s="592">
        <v>11</v>
      </c>
      <c r="B14" s="604"/>
      <c r="C14" s="302"/>
      <c r="D14" s="303"/>
      <c r="E14" s="659"/>
      <c r="F14" s="308"/>
      <c r="G14" s="303"/>
      <c r="H14" s="303"/>
      <c r="I14" s="303"/>
      <c r="J14" s="307"/>
      <c r="K14" s="307"/>
      <c r="L14" s="590" t="str">
        <f t="shared" si="0"/>
        <v/>
      </c>
      <c r="M14" s="416"/>
      <c r="N14" s="470" t="s">
        <v>551</v>
      </c>
      <c r="O14" s="471"/>
      <c r="P14" s="471"/>
      <c r="Q14" s="471"/>
      <c r="R14" s="471"/>
      <c r="S14" s="563" t="s">
        <v>552</v>
      </c>
      <c r="T14" s="564">
        <v>2025</v>
      </c>
      <c r="U14" s="405"/>
      <c r="V14" s="405"/>
      <c r="W14" s="405"/>
      <c r="X14" s="405"/>
      <c r="Y14" s="405"/>
      <c r="Z14" s="405"/>
      <c r="AA14" s="405"/>
      <c r="AB14" s="405"/>
      <c r="AC14" s="389" t="e">
        <f t="shared" si="16"/>
        <v>#N/A</v>
      </c>
      <c r="AD14" s="390">
        <f t="shared" si="1"/>
        <v>0</v>
      </c>
      <c r="AE14" s="390">
        <f t="shared" si="2"/>
        <v>0</v>
      </c>
      <c r="AF14" s="391">
        <f t="shared" si="3"/>
        <v>0</v>
      </c>
      <c r="AG14" s="392">
        <f t="shared" si="4"/>
        <v>0</v>
      </c>
      <c r="AH14" s="392">
        <f t="shared" si="5"/>
        <v>0</v>
      </c>
      <c r="AI14" s="392">
        <f t="shared" si="6"/>
        <v>0</v>
      </c>
      <c r="AJ14" s="393">
        <f t="shared" si="7"/>
        <v>0</v>
      </c>
      <c r="AK14" s="391">
        <f t="shared" si="8"/>
        <v>0</v>
      </c>
      <c r="AL14" s="391">
        <f t="shared" si="9"/>
        <v>0</v>
      </c>
      <c r="AM14" s="391">
        <f t="shared" si="10"/>
        <v>0</v>
      </c>
      <c r="AN14" s="391">
        <f t="shared" si="11"/>
        <v>0</v>
      </c>
      <c r="AO14" s="403">
        <f t="shared" si="12"/>
        <v>0</v>
      </c>
      <c r="AP14" s="405"/>
      <c r="AQ14" s="390" t="e">
        <f t="shared" si="13"/>
        <v>#N/A</v>
      </c>
      <c r="AR14" s="408">
        <f t="shared" si="14"/>
        <v>0</v>
      </c>
      <c r="AS14" s="409" t="str">
        <f t="shared" si="15"/>
        <v/>
      </c>
      <c r="AT14" s="416"/>
      <c r="AU14" s="416"/>
      <c r="AV14" s="416"/>
    </row>
    <row r="15" spans="1:48" ht="15" x14ac:dyDescent="0.25">
      <c r="A15" s="592">
        <v>12</v>
      </c>
      <c r="B15" s="604"/>
      <c r="C15" s="302"/>
      <c r="D15" s="659"/>
      <c r="E15" s="305"/>
      <c r="F15" s="308"/>
      <c r="G15" s="303"/>
      <c r="H15" s="303"/>
      <c r="I15" s="303"/>
      <c r="J15" s="307"/>
      <c r="K15" s="307"/>
      <c r="L15" s="590" t="str">
        <f t="shared" si="0"/>
        <v/>
      </c>
      <c r="M15" s="416"/>
      <c r="N15" s="472"/>
      <c r="O15" s="469" t="s">
        <v>550</v>
      </c>
      <c r="P15" s="469" t="s">
        <v>553</v>
      </c>
      <c r="Q15" s="469" t="s">
        <v>554</v>
      </c>
      <c r="R15" s="469" t="s">
        <v>555</v>
      </c>
      <c r="S15" s="469" t="s">
        <v>556</v>
      </c>
      <c r="T15" s="473" t="s">
        <v>557</v>
      </c>
      <c r="U15" s="405"/>
      <c r="V15" s="405"/>
      <c r="W15" s="405"/>
      <c r="X15" s="405"/>
      <c r="Y15" s="405"/>
      <c r="Z15" s="405"/>
      <c r="AA15" s="405"/>
      <c r="AB15" s="405"/>
      <c r="AC15" s="389" t="e">
        <f t="shared" si="16"/>
        <v>#N/A</v>
      </c>
      <c r="AD15" s="390">
        <f t="shared" si="1"/>
        <v>0</v>
      </c>
      <c r="AE15" s="390">
        <f t="shared" si="2"/>
        <v>0</v>
      </c>
      <c r="AF15" s="391">
        <f t="shared" si="3"/>
        <v>0</v>
      </c>
      <c r="AG15" s="392">
        <f t="shared" si="4"/>
        <v>0</v>
      </c>
      <c r="AH15" s="392">
        <f t="shared" si="5"/>
        <v>0</v>
      </c>
      <c r="AI15" s="392">
        <f t="shared" si="6"/>
        <v>0</v>
      </c>
      <c r="AJ15" s="393">
        <f t="shared" si="7"/>
        <v>0</v>
      </c>
      <c r="AK15" s="391">
        <f t="shared" si="8"/>
        <v>0</v>
      </c>
      <c r="AL15" s="391">
        <f t="shared" si="9"/>
        <v>0</v>
      </c>
      <c r="AM15" s="391">
        <f t="shared" si="10"/>
        <v>0</v>
      </c>
      <c r="AN15" s="391">
        <f t="shared" si="11"/>
        <v>0</v>
      </c>
      <c r="AO15" s="403">
        <f t="shared" si="12"/>
        <v>0</v>
      </c>
      <c r="AP15" s="405"/>
      <c r="AQ15" s="390" t="e">
        <f t="shared" si="13"/>
        <v>#N/A</v>
      </c>
      <c r="AR15" s="408">
        <f t="shared" si="14"/>
        <v>0</v>
      </c>
      <c r="AS15" s="409" t="str">
        <f t="shared" si="15"/>
        <v/>
      </c>
      <c r="AT15" s="416"/>
      <c r="AU15" s="416"/>
      <c r="AV15" s="416"/>
    </row>
    <row r="16" spans="1:48" ht="15" x14ac:dyDescent="0.25">
      <c r="A16" s="592">
        <v>13</v>
      </c>
      <c r="B16" s="604"/>
      <c r="C16" s="302"/>
      <c r="D16" s="303"/>
      <c r="E16" s="305"/>
      <c r="F16" s="308"/>
      <c r="G16" s="303"/>
      <c r="H16" s="303"/>
      <c r="I16" s="303"/>
      <c r="J16" s="307"/>
      <c r="K16" s="307"/>
      <c r="L16" s="590" t="str">
        <f t="shared" si="0"/>
        <v/>
      </c>
      <c r="M16" s="416"/>
      <c r="N16" s="565" t="s">
        <v>558</v>
      </c>
      <c r="O16" s="469">
        <f>COUNTIF(O19:O268,"&gt;0")</f>
        <v>0</v>
      </c>
      <c r="P16" s="469">
        <f t="shared" ref="P16:T16" si="17">COUNTIF(P19:P268,"&gt;0")</f>
        <v>0</v>
      </c>
      <c r="Q16" s="469">
        <f t="shared" si="17"/>
        <v>0</v>
      </c>
      <c r="R16" s="469">
        <f t="shared" si="17"/>
        <v>0</v>
      </c>
      <c r="S16" s="469">
        <f t="shared" si="17"/>
        <v>0</v>
      </c>
      <c r="T16" s="473">
        <f t="shared" si="17"/>
        <v>0</v>
      </c>
      <c r="U16" s="405"/>
      <c r="V16" s="405"/>
      <c r="W16" s="405"/>
      <c r="X16" s="405"/>
      <c r="Y16" s="405"/>
      <c r="Z16" s="405"/>
      <c r="AA16" s="405"/>
      <c r="AB16" s="405"/>
      <c r="AC16" s="389" t="e">
        <f t="shared" si="16"/>
        <v>#N/A</v>
      </c>
      <c r="AD16" s="390">
        <f t="shared" si="1"/>
        <v>0</v>
      </c>
      <c r="AE16" s="390">
        <f t="shared" si="2"/>
        <v>0</v>
      </c>
      <c r="AF16" s="391">
        <f t="shared" si="3"/>
        <v>0</v>
      </c>
      <c r="AG16" s="392">
        <f t="shared" si="4"/>
        <v>0</v>
      </c>
      <c r="AH16" s="392">
        <f t="shared" si="5"/>
        <v>0</v>
      </c>
      <c r="AI16" s="392">
        <f t="shared" si="6"/>
        <v>0</v>
      </c>
      <c r="AJ16" s="393">
        <f t="shared" si="7"/>
        <v>0</v>
      </c>
      <c r="AK16" s="391">
        <f t="shared" si="8"/>
        <v>0</v>
      </c>
      <c r="AL16" s="391">
        <f t="shared" si="9"/>
        <v>0</v>
      </c>
      <c r="AM16" s="391">
        <f t="shared" si="10"/>
        <v>0</v>
      </c>
      <c r="AN16" s="391">
        <f t="shared" si="11"/>
        <v>0</v>
      </c>
      <c r="AO16" s="403">
        <f t="shared" si="12"/>
        <v>0</v>
      </c>
      <c r="AP16" s="405"/>
      <c r="AQ16" s="390" t="e">
        <f t="shared" si="13"/>
        <v>#N/A</v>
      </c>
      <c r="AR16" s="408">
        <f t="shared" si="14"/>
        <v>0</v>
      </c>
      <c r="AS16" s="409" t="str">
        <f t="shared" si="15"/>
        <v/>
      </c>
      <c r="AT16" s="416"/>
      <c r="AU16" s="416"/>
      <c r="AV16" s="416"/>
    </row>
    <row r="17" spans="1:46" s="416" customFormat="1" ht="15.75" thickBot="1" x14ac:dyDescent="0.3">
      <c r="A17" s="592">
        <v>14</v>
      </c>
      <c r="B17" s="604"/>
      <c r="C17" s="302"/>
      <c r="D17" s="303"/>
      <c r="E17" s="305"/>
      <c r="F17" s="308"/>
      <c r="G17" s="303"/>
      <c r="H17" s="303"/>
      <c r="I17" s="303"/>
      <c r="J17" s="307"/>
      <c r="K17" s="307"/>
      <c r="L17" s="590" t="str">
        <f t="shared" si="0"/>
        <v/>
      </c>
      <c r="N17" s="474" t="s">
        <v>559</v>
      </c>
      <c r="O17" s="475" t="str">
        <f>IFERROR(AVERAGEIF(O19:O268, "&gt;0"), "")</f>
        <v/>
      </c>
      <c r="P17" s="475" t="str">
        <f t="shared" ref="P17:T17" si="18">IFERROR(AVERAGEIF(P19:P268, "&gt;0"), "")</f>
        <v/>
      </c>
      <c r="Q17" s="475" t="str">
        <f t="shared" si="18"/>
        <v/>
      </c>
      <c r="R17" s="475" t="str">
        <f t="shared" si="18"/>
        <v/>
      </c>
      <c r="S17" s="475" t="str">
        <f t="shared" si="18"/>
        <v/>
      </c>
      <c r="T17" s="476" t="str">
        <f t="shared" si="18"/>
        <v/>
      </c>
      <c r="U17" s="405"/>
      <c r="V17" s="405"/>
      <c r="W17" s="405"/>
      <c r="X17" s="405"/>
      <c r="Y17" s="405"/>
      <c r="Z17" s="405"/>
      <c r="AA17" s="405"/>
      <c r="AB17" s="405"/>
      <c r="AC17" s="389" t="e">
        <f t="shared" ref="AC17:AC80" si="19">VLOOKUP($F17,$O$5:$P$10,2,0)</f>
        <v>#N/A</v>
      </c>
      <c r="AD17" s="390">
        <f t="shared" ref="AD17:AD80" si="20">IF(G17="Yes w/ Elec.Stove", VLOOKUP(AC17, $P$5:$Q$103, 2, FALSE), 0)</f>
        <v>0</v>
      </c>
      <c r="AE17" s="390">
        <f t="shared" ref="AE17:AE80" si="21">IF(G17="Yes, No Elec. Stove", VLOOKUP(AC17, $P$5:$R$103, 3, FALSE),0)</f>
        <v>0</v>
      </c>
      <c r="AF17" s="391">
        <f t="shared" ref="AF17:AF80" si="22">IF(H17="Yes ", VLOOKUP(AC17, $P$5:$S$103, 4, FALSE),0)</f>
        <v>0</v>
      </c>
      <c r="AG17" s="392">
        <f t="shared" ref="AG17:AG80" si="23">IF(I17="Oil", VLOOKUP(AC17, $P$5:$T$103, 5, FALSE), 0)</f>
        <v>0</v>
      </c>
      <c r="AH17" s="392">
        <f t="shared" ref="AH17:AH80" si="24">IF(I17="Gas", VLOOKUP(AC17, $P$5:$U$104, 6, FALSE), 0)</f>
        <v>0</v>
      </c>
      <c r="AI17" s="392">
        <f t="shared" ref="AI17:AI80" si="25">IF(I17="Electric - Other", VLOOKUP(AC17, $P$5:$V$104, 7, FALSE),0)</f>
        <v>0</v>
      </c>
      <c r="AJ17" s="393">
        <f t="shared" ref="AJ17:AJ80" si="26">IF(I17="Electric - Heat Pump", VLOOKUP(AC17, $P$5:$W$104, 8, FALSE),0)</f>
        <v>0</v>
      </c>
      <c r="AK17" s="391">
        <f t="shared" ref="AK17:AK80" si="27">IF(J17="Electric ccASHP - split", VLOOKUP(AC17, $P$5:$X$104, 9, FALSE),0)</f>
        <v>0</v>
      </c>
      <c r="AL17" s="391">
        <f t="shared" ref="AL17:AL80" si="28">IF(J17="Electric - Other", VLOOKUP(AC17, $P$5:$Y$104, 10, FALSE),0)</f>
        <v>0</v>
      </c>
      <c r="AM17" s="391">
        <f t="shared" ref="AM17:AM80" si="29">IF(J17="Oil ", VLOOKUP(AC17, $P$5:$Z$104, 11, FALSE),0)</f>
        <v>0</v>
      </c>
      <c r="AN17" s="391">
        <f t="shared" ref="AN17:AN80" si="30">IF(J17="Gas ",VLOOKUP(AC17,$P$5:$AA$104,12,FALSE),0)</f>
        <v>0</v>
      </c>
      <c r="AO17" s="403">
        <f t="shared" ref="AO17:AO80" si="31">K17</f>
        <v>0</v>
      </c>
      <c r="AP17" s="405"/>
      <c r="AQ17" s="390" t="e">
        <f t="shared" ref="AQ17:AQ80" si="32">AC17-AD17-AE17-AF17-AG17-AH17-AI17-AJ17-AK17-AL17-AM17-AN17-AO17</f>
        <v>#N/A</v>
      </c>
      <c r="AR17" s="408">
        <f t="shared" ref="AR17:AR80" si="33">E17</f>
        <v>0</v>
      </c>
      <c r="AS17" s="409" t="str">
        <f t="shared" si="15"/>
        <v/>
      </c>
    </row>
    <row r="18" spans="1:46" ht="15" x14ac:dyDescent="0.25">
      <c r="A18" s="592">
        <v>15</v>
      </c>
      <c r="B18" s="604"/>
      <c r="C18" s="302"/>
      <c r="D18" s="304"/>
      <c r="E18" s="306"/>
      <c r="F18" s="308"/>
      <c r="G18" s="304"/>
      <c r="H18" s="304"/>
      <c r="I18" s="304"/>
      <c r="J18" s="304"/>
      <c r="K18" s="307"/>
      <c r="L18" s="590" t="str">
        <f t="shared" si="0"/>
        <v/>
      </c>
      <c r="M18" s="416"/>
      <c r="N18" s="416"/>
      <c r="O18" s="416"/>
      <c r="P18" s="416"/>
      <c r="Q18" s="416"/>
      <c r="R18" s="416"/>
      <c r="S18" s="416"/>
      <c r="T18" s="416"/>
      <c r="U18" s="405"/>
      <c r="V18" s="405"/>
      <c r="W18" s="405"/>
      <c r="X18" s="405"/>
      <c r="Y18" s="405"/>
      <c r="Z18" s="405"/>
      <c r="AA18" s="405"/>
      <c r="AB18" s="405"/>
      <c r="AC18" s="389" t="e">
        <f t="shared" si="19"/>
        <v>#N/A</v>
      </c>
      <c r="AD18" s="390">
        <f t="shared" si="20"/>
        <v>0</v>
      </c>
      <c r="AE18" s="390">
        <f t="shared" si="21"/>
        <v>0</v>
      </c>
      <c r="AF18" s="391">
        <f t="shared" si="22"/>
        <v>0</v>
      </c>
      <c r="AG18" s="392">
        <f t="shared" si="23"/>
        <v>0</v>
      </c>
      <c r="AH18" s="392">
        <f t="shared" si="24"/>
        <v>0</v>
      </c>
      <c r="AI18" s="392">
        <f t="shared" si="25"/>
        <v>0</v>
      </c>
      <c r="AJ18" s="393">
        <f t="shared" si="26"/>
        <v>0</v>
      </c>
      <c r="AK18" s="391">
        <f t="shared" si="27"/>
        <v>0</v>
      </c>
      <c r="AL18" s="391">
        <f t="shared" si="28"/>
        <v>0</v>
      </c>
      <c r="AM18" s="391">
        <f t="shared" si="29"/>
        <v>0</v>
      </c>
      <c r="AN18" s="391">
        <f t="shared" si="30"/>
        <v>0</v>
      </c>
      <c r="AO18" s="403">
        <f t="shared" si="31"/>
        <v>0</v>
      </c>
      <c r="AP18" s="405"/>
      <c r="AQ18" s="390" t="e">
        <f t="shared" si="32"/>
        <v>#N/A</v>
      </c>
      <c r="AR18" s="408">
        <f t="shared" si="33"/>
        <v>0</v>
      </c>
      <c r="AS18" s="409" t="str">
        <f t="shared" si="15"/>
        <v/>
      </c>
      <c r="AT18" s="416"/>
    </row>
    <row r="19" spans="1:46" ht="15" x14ac:dyDescent="0.25">
      <c r="A19" s="592">
        <v>16</v>
      </c>
      <c r="B19" s="604"/>
      <c r="C19" s="302"/>
      <c r="D19" s="304"/>
      <c r="E19" s="306"/>
      <c r="F19" s="308"/>
      <c r="G19" s="304"/>
      <c r="H19" s="304"/>
      <c r="I19" s="304"/>
      <c r="J19" s="304"/>
      <c r="K19" s="307"/>
      <c r="L19" s="590" t="str">
        <f t="shared" si="0"/>
        <v/>
      </c>
      <c r="M19" s="416"/>
      <c r="N19" s="405"/>
      <c r="O19" s="468" t="str">
        <f t="shared" ref="O19:O31" si="34">IF(AND($F4="Studio",$L4="Yes"),$E4," ")</f>
        <v xml:space="preserve"> </v>
      </c>
      <c r="P19" s="468" t="str">
        <f t="shared" ref="P19:P31" si="35">IF(AND($F4=1,$L4="Yes"),$E4," ")</f>
        <v xml:space="preserve"> </v>
      </c>
      <c r="Q19" s="468" t="str">
        <f t="shared" ref="Q19:Q31" si="36">IF(AND($F4=2,$L4="Yes"),$E4," ")</f>
        <v xml:space="preserve"> </v>
      </c>
      <c r="R19" s="468" t="str">
        <f t="shared" ref="R19:R31" si="37">IF(AND($F4=3,$L4="Yes"),$E4," ")</f>
        <v xml:space="preserve"> </v>
      </c>
      <c r="S19" s="468" t="str">
        <f t="shared" ref="S19:S31" si="38">IF(AND($F4=4,$L4="Yes"),$E4," ")</f>
        <v xml:space="preserve"> </v>
      </c>
      <c r="T19" s="468" t="str">
        <f t="shared" ref="T19:T31" si="39">IF(AND($F4=5,$L4="Yes"),$E4," ")</f>
        <v xml:space="preserve"> </v>
      </c>
      <c r="U19" s="405"/>
      <c r="V19" s="405"/>
      <c r="W19" s="405"/>
      <c r="X19" s="405"/>
      <c r="Y19" s="405"/>
      <c r="Z19" s="405"/>
      <c r="AA19" s="405"/>
      <c r="AB19" s="405"/>
      <c r="AC19" s="389" t="e">
        <f t="shared" si="19"/>
        <v>#N/A</v>
      </c>
      <c r="AD19" s="390">
        <f t="shared" si="20"/>
        <v>0</v>
      </c>
      <c r="AE19" s="390">
        <f t="shared" si="21"/>
        <v>0</v>
      </c>
      <c r="AF19" s="391">
        <f t="shared" si="22"/>
        <v>0</v>
      </c>
      <c r="AG19" s="392">
        <f t="shared" si="23"/>
        <v>0</v>
      </c>
      <c r="AH19" s="392">
        <f t="shared" si="24"/>
        <v>0</v>
      </c>
      <c r="AI19" s="392">
        <f t="shared" si="25"/>
        <v>0</v>
      </c>
      <c r="AJ19" s="393">
        <f t="shared" si="26"/>
        <v>0</v>
      </c>
      <c r="AK19" s="391">
        <f t="shared" si="27"/>
        <v>0</v>
      </c>
      <c r="AL19" s="391">
        <f t="shared" si="28"/>
        <v>0</v>
      </c>
      <c r="AM19" s="391">
        <f t="shared" si="29"/>
        <v>0</v>
      </c>
      <c r="AN19" s="391">
        <f t="shared" si="30"/>
        <v>0</v>
      </c>
      <c r="AO19" s="403">
        <f t="shared" si="31"/>
        <v>0</v>
      </c>
      <c r="AP19" s="405"/>
      <c r="AQ19" s="390" t="e">
        <f t="shared" si="32"/>
        <v>#N/A</v>
      </c>
      <c r="AR19" s="408">
        <f t="shared" si="33"/>
        <v>0</v>
      </c>
      <c r="AS19" s="409" t="str">
        <f t="shared" si="15"/>
        <v/>
      </c>
      <c r="AT19" s="416"/>
    </row>
    <row r="20" spans="1:46" ht="15" x14ac:dyDescent="0.25">
      <c r="A20" s="592">
        <v>17</v>
      </c>
      <c r="B20" s="604"/>
      <c r="C20" s="302"/>
      <c r="D20" s="304"/>
      <c r="E20" s="306"/>
      <c r="F20" s="308"/>
      <c r="G20" s="304"/>
      <c r="H20" s="304"/>
      <c r="I20" s="304"/>
      <c r="J20" s="304"/>
      <c r="K20" s="307"/>
      <c r="L20" s="590" t="str">
        <f t="shared" si="0"/>
        <v/>
      </c>
      <c r="M20" s="416"/>
      <c r="N20" s="405"/>
      <c r="O20" s="468" t="str">
        <f t="shared" si="34"/>
        <v xml:space="preserve"> </v>
      </c>
      <c r="P20" s="468" t="str">
        <f t="shared" si="35"/>
        <v xml:space="preserve"> </v>
      </c>
      <c r="Q20" s="468" t="str">
        <f t="shared" si="36"/>
        <v xml:space="preserve"> </v>
      </c>
      <c r="R20" s="468" t="str">
        <f t="shared" si="37"/>
        <v xml:space="preserve"> </v>
      </c>
      <c r="S20" s="468" t="str">
        <f t="shared" si="38"/>
        <v xml:space="preserve"> </v>
      </c>
      <c r="T20" s="468" t="str">
        <f t="shared" si="39"/>
        <v xml:space="preserve"> </v>
      </c>
      <c r="U20" s="405"/>
      <c r="V20" s="405"/>
      <c r="W20" s="405"/>
      <c r="X20" s="405"/>
      <c r="Y20" s="405"/>
      <c r="Z20" s="405"/>
      <c r="AA20" s="405"/>
      <c r="AB20" s="405"/>
      <c r="AC20" s="389" t="e">
        <f t="shared" si="19"/>
        <v>#N/A</v>
      </c>
      <c r="AD20" s="390">
        <f t="shared" si="20"/>
        <v>0</v>
      </c>
      <c r="AE20" s="390">
        <f t="shared" si="21"/>
        <v>0</v>
      </c>
      <c r="AF20" s="391">
        <f t="shared" si="22"/>
        <v>0</v>
      </c>
      <c r="AG20" s="392">
        <f t="shared" si="23"/>
        <v>0</v>
      </c>
      <c r="AH20" s="392">
        <f t="shared" si="24"/>
        <v>0</v>
      </c>
      <c r="AI20" s="392">
        <f t="shared" si="25"/>
        <v>0</v>
      </c>
      <c r="AJ20" s="393">
        <f t="shared" si="26"/>
        <v>0</v>
      </c>
      <c r="AK20" s="391">
        <f t="shared" si="27"/>
        <v>0</v>
      </c>
      <c r="AL20" s="391">
        <f t="shared" si="28"/>
        <v>0</v>
      </c>
      <c r="AM20" s="391">
        <f t="shared" si="29"/>
        <v>0</v>
      </c>
      <c r="AN20" s="391">
        <f t="shared" si="30"/>
        <v>0</v>
      </c>
      <c r="AO20" s="403">
        <f t="shared" si="31"/>
        <v>0</v>
      </c>
      <c r="AP20" s="405"/>
      <c r="AQ20" s="390" t="e">
        <f t="shared" si="32"/>
        <v>#N/A</v>
      </c>
      <c r="AR20" s="408">
        <f t="shared" si="33"/>
        <v>0</v>
      </c>
      <c r="AS20" s="409" t="str">
        <f t="shared" si="15"/>
        <v/>
      </c>
      <c r="AT20" s="416"/>
    </row>
    <row r="21" spans="1:46" ht="15" x14ac:dyDescent="0.25">
      <c r="A21" s="592">
        <v>18</v>
      </c>
      <c r="B21" s="604"/>
      <c r="C21" s="302"/>
      <c r="D21" s="304"/>
      <c r="E21" s="306"/>
      <c r="F21" s="308"/>
      <c r="G21" s="304"/>
      <c r="H21" s="304"/>
      <c r="I21" s="304"/>
      <c r="J21" s="304"/>
      <c r="K21" s="307"/>
      <c r="L21" s="590" t="str">
        <f t="shared" si="0"/>
        <v/>
      </c>
      <c r="M21" s="416"/>
      <c r="N21" s="405"/>
      <c r="O21" s="468" t="str">
        <f t="shared" si="34"/>
        <v xml:space="preserve"> </v>
      </c>
      <c r="P21" s="468" t="str">
        <f t="shared" si="35"/>
        <v xml:space="preserve"> </v>
      </c>
      <c r="Q21" s="468" t="str">
        <f t="shared" si="36"/>
        <v xml:space="preserve"> </v>
      </c>
      <c r="R21" s="468" t="str">
        <f t="shared" si="37"/>
        <v xml:space="preserve"> </v>
      </c>
      <c r="S21" s="468" t="str">
        <f t="shared" si="38"/>
        <v xml:space="preserve"> </v>
      </c>
      <c r="T21" s="468" t="str">
        <f t="shared" si="39"/>
        <v xml:space="preserve"> </v>
      </c>
      <c r="U21" s="405"/>
      <c r="V21" s="405"/>
      <c r="W21" s="405"/>
      <c r="X21" s="405"/>
      <c r="Y21" s="405"/>
      <c r="Z21" s="405"/>
      <c r="AA21" s="405"/>
      <c r="AB21" s="405"/>
      <c r="AC21" s="389" t="e">
        <f t="shared" si="19"/>
        <v>#N/A</v>
      </c>
      <c r="AD21" s="390">
        <f t="shared" si="20"/>
        <v>0</v>
      </c>
      <c r="AE21" s="390">
        <f t="shared" si="21"/>
        <v>0</v>
      </c>
      <c r="AF21" s="391">
        <f t="shared" si="22"/>
        <v>0</v>
      </c>
      <c r="AG21" s="392">
        <f t="shared" si="23"/>
        <v>0</v>
      </c>
      <c r="AH21" s="392">
        <f t="shared" si="24"/>
        <v>0</v>
      </c>
      <c r="AI21" s="392">
        <f t="shared" si="25"/>
        <v>0</v>
      </c>
      <c r="AJ21" s="393">
        <f t="shared" si="26"/>
        <v>0</v>
      </c>
      <c r="AK21" s="391">
        <f t="shared" si="27"/>
        <v>0</v>
      </c>
      <c r="AL21" s="391">
        <f t="shared" si="28"/>
        <v>0</v>
      </c>
      <c r="AM21" s="391">
        <f t="shared" si="29"/>
        <v>0</v>
      </c>
      <c r="AN21" s="391">
        <f t="shared" si="30"/>
        <v>0</v>
      </c>
      <c r="AO21" s="403">
        <f t="shared" si="31"/>
        <v>0</v>
      </c>
      <c r="AP21" s="405"/>
      <c r="AQ21" s="390" t="e">
        <f t="shared" si="32"/>
        <v>#N/A</v>
      </c>
      <c r="AR21" s="408">
        <f t="shared" si="33"/>
        <v>0</v>
      </c>
      <c r="AS21" s="409" t="str">
        <f t="shared" si="15"/>
        <v/>
      </c>
      <c r="AT21" s="416"/>
    </row>
    <row r="22" spans="1:46" ht="15" x14ac:dyDescent="0.25">
      <c r="A22" s="592">
        <v>19</v>
      </c>
      <c r="B22" s="604"/>
      <c r="C22" s="302"/>
      <c r="D22" s="304"/>
      <c r="E22" s="306"/>
      <c r="F22" s="308"/>
      <c r="G22" s="304"/>
      <c r="H22" s="304"/>
      <c r="I22" s="304"/>
      <c r="J22" s="304"/>
      <c r="K22" s="307"/>
      <c r="L22" s="590" t="str">
        <f t="shared" si="0"/>
        <v/>
      </c>
      <c r="M22" s="416"/>
      <c r="N22" s="405"/>
      <c r="O22" s="468" t="str">
        <f t="shared" si="34"/>
        <v xml:space="preserve"> </v>
      </c>
      <c r="P22" s="468" t="str">
        <f t="shared" si="35"/>
        <v xml:space="preserve"> </v>
      </c>
      <c r="Q22" s="468" t="str">
        <f t="shared" si="36"/>
        <v xml:space="preserve"> </v>
      </c>
      <c r="R22" s="468" t="str">
        <f t="shared" si="37"/>
        <v xml:space="preserve"> </v>
      </c>
      <c r="S22" s="468" t="str">
        <f t="shared" si="38"/>
        <v xml:space="preserve"> </v>
      </c>
      <c r="T22" s="468" t="str">
        <f t="shared" si="39"/>
        <v xml:space="preserve"> </v>
      </c>
      <c r="U22" s="405"/>
      <c r="V22" s="405"/>
      <c r="W22" s="405"/>
      <c r="X22" s="405"/>
      <c r="Y22" s="405"/>
      <c r="Z22" s="405"/>
      <c r="AA22" s="405"/>
      <c r="AB22" s="405"/>
      <c r="AC22" s="389" t="e">
        <f t="shared" si="19"/>
        <v>#N/A</v>
      </c>
      <c r="AD22" s="390">
        <f t="shared" si="20"/>
        <v>0</v>
      </c>
      <c r="AE22" s="390">
        <f t="shared" si="21"/>
        <v>0</v>
      </c>
      <c r="AF22" s="391">
        <f t="shared" si="22"/>
        <v>0</v>
      </c>
      <c r="AG22" s="392">
        <f t="shared" si="23"/>
        <v>0</v>
      </c>
      <c r="AH22" s="392">
        <f t="shared" si="24"/>
        <v>0</v>
      </c>
      <c r="AI22" s="392">
        <f t="shared" si="25"/>
        <v>0</v>
      </c>
      <c r="AJ22" s="393">
        <f t="shared" si="26"/>
        <v>0</v>
      </c>
      <c r="AK22" s="391">
        <f t="shared" si="27"/>
        <v>0</v>
      </c>
      <c r="AL22" s="391">
        <f t="shared" si="28"/>
        <v>0</v>
      </c>
      <c r="AM22" s="391">
        <f t="shared" si="29"/>
        <v>0</v>
      </c>
      <c r="AN22" s="391">
        <f t="shared" si="30"/>
        <v>0</v>
      </c>
      <c r="AO22" s="403">
        <f t="shared" si="31"/>
        <v>0</v>
      </c>
      <c r="AP22" s="405"/>
      <c r="AQ22" s="390" t="e">
        <f t="shared" si="32"/>
        <v>#N/A</v>
      </c>
      <c r="AR22" s="408">
        <f t="shared" si="33"/>
        <v>0</v>
      </c>
      <c r="AS22" s="409" t="str">
        <f t="shared" si="15"/>
        <v/>
      </c>
      <c r="AT22" s="416"/>
    </row>
    <row r="23" spans="1:46" ht="15" x14ac:dyDescent="0.25">
      <c r="A23" s="592">
        <v>20</v>
      </c>
      <c r="B23" s="604"/>
      <c r="C23" s="302"/>
      <c r="D23" s="304"/>
      <c r="E23" s="306"/>
      <c r="F23" s="308"/>
      <c r="G23" s="304"/>
      <c r="H23" s="304"/>
      <c r="I23" s="304"/>
      <c r="J23" s="304"/>
      <c r="K23" s="307"/>
      <c r="L23" s="590" t="str">
        <f t="shared" si="0"/>
        <v/>
      </c>
      <c r="M23" s="416"/>
      <c r="N23" s="405"/>
      <c r="O23" s="468" t="str">
        <f t="shared" si="34"/>
        <v xml:space="preserve"> </v>
      </c>
      <c r="P23" s="468" t="str">
        <f t="shared" si="35"/>
        <v xml:space="preserve"> </v>
      </c>
      <c r="Q23" s="468" t="str">
        <f t="shared" si="36"/>
        <v xml:space="preserve"> </v>
      </c>
      <c r="R23" s="468" t="str">
        <f t="shared" si="37"/>
        <v xml:space="preserve"> </v>
      </c>
      <c r="S23" s="468" t="str">
        <f t="shared" si="38"/>
        <v xml:space="preserve"> </v>
      </c>
      <c r="T23" s="468" t="str">
        <f t="shared" si="39"/>
        <v xml:space="preserve"> </v>
      </c>
      <c r="U23" s="405"/>
      <c r="V23" s="405"/>
      <c r="W23" s="405"/>
      <c r="X23" s="405"/>
      <c r="Y23" s="405"/>
      <c r="Z23" s="405"/>
      <c r="AA23" s="405"/>
      <c r="AB23" s="405"/>
      <c r="AC23" s="389" t="e">
        <f t="shared" si="19"/>
        <v>#N/A</v>
      </c>
      <c r="AD23" s="390">
        <f t="shared" si="20"/>
        <v>0</v>
      </c>
      <c r="AE23" s="390">
        <f t="shared" si="21"/>
        <v>0</v>
      </c>
      <c r="AF23" s="391">
        <f t="shared" si="22"/>
        <v>0</v>
      </c>
      <c r="AG23" s="392">
        <f t="shared" si="23"/>
        <v>0</v>
      </c>
      <c r="AH23" s="392">
        <f t="shared" si="24"/>
        <v>0</v>
      </c>
      <c r="AI23" s="392">
        <f t="shared" si="25"/>
        <v>0</v>
      </c>
      <c r="AJ23" s="393">
        <f t="shared" si="26"/>
        <v>0</v>
      </c>
      <c r="AK23" s="391">
        <f t="shared" si="27"/>
        <v>0</v>
      </c>
      <c r="AL23" s="391">
        <f t="shared" si="28"/>
        <v>0</v>
      </c>
      <c r="AM23" s="391">
        <f t="shared" si="29"/>
        <v>0</v>
      </c>
      <c r="AN23" s="391">
        <f t="shared" si="30"/>
        <v>0</v>
      </c>
      <c r="AO23" s="403">
        <f t="shared" si="31"/>
        <v>0</v>
      </c>
      <c r="AP23" s="405"/>
      <c r="AQ23" s="390" t="e">
        <f t="shared" si="32"/>
        <v>#N/A</v>
      </c>
      <c r="AR23" s="408">
        <f t="shared" si="33"/>
        <v>0</v>
      </c>
      <c r="AS23" s="409" t="str">
        <f t="shared" si="15"/>
        <v/>
      </c>
      <c r="AT23" s="416"/>
    </row>
    <row r="24" spans="1:46" ht="15" x14ac:dyDescent="0.25">
      <c r="A24" s="592">
        <v>21</v>
      </c>
      <c r="B24" s="604"/>
      <c r="C24" s="302"/>
      <c r="D24" s="304"/>
      <c r="E24" s="306"/>
      <c r="F24" s="308"/>
      <c r="G24" s="304"/>
      <c r="H24" s="304"/>
      <c r="I24" s="304"/>
      <c r="J24" s="304"/>
      <c r="K24" s="307"/>
      <c r="L24" s="590" t="str">
        <f t="shared" si="0"/>
        <v/>
      </c>
      <c r="M24" s="416"/>
      <c r="N24" s="405"/>
      <c r="O24" s="468" t="str">
        <f t="shared" si="34"/>
        <v xml:space="preserve"> </v>
      </c>
      <c r="P24" s="468" t="str">
        <f t="shared" si="35"/>
        <v xml:space="preserve"> </v>
      </c>
      <c r="Q24" s="468" t="str">
        <f t="shared" si="36"/>
        <v xml:space="preserve"> </v>
      </c>
      <c r="R24" s="468" t="str">
        <f t="shared" si="37"/>
        <v xml:space="preserve"> </v>
      </c>
      <c r="S24" s="468" t="str">
        <f t="shared" si="38"/>
        <v xml:space="preserve"> </v>
      </c>
      <c r="T24" s="468" t="str">
        <f t="shared" si="39"/>
        <v xml:space="preserve"> </v>
      </c>
      <c r="U24" s="405"/>
      <c r="V24" s="405"/>
      <c r="W24" s="405"/>
      <c r="X24" s="405"/>
      <c r="Y24" s="405"/>
      <c r="Z24" s="405"/>
      <c r="AA24" s="405"/>
      <c r="AB24" s="405"/>
      <c r="AC24" s="389" t="e">
        <f t="shared" si="19"/>
        <v>#N/A</v>
      </c>
      <c r="AD24" s="390">
        <f t="shared" si="20"/>
        <v>0</v>
      </c>
      <c r="AE24" s="390">
        <f t="shared" si="21"/>
        <v>0</v>
      </c>
      <c r="AF24" s="391">
        <f t="shared" si="22"/>
        <v>0</v>
      </c>
      <c r="AG24" s="392">
        <f t="shared" si="23"/>
        <v>0</v>
      </c>
      <c r="AH24" s="392">
        <f t="shared" si="24"/>
        <v>0</v>
      </c>
      <c r="AI24" s="392">
        <f t="shared" si="25"/>
        <v>0</v>
      </c>
      <c r="AJ24" s="393">
        <f t="shared" si="26"/>
        <v>0</v>
      </c>
      <c r="AK24" s="391">
        <f t="shared" si="27"/>
        <v>0</v>
      </c>
      <c r="AL24" s="391">
        <f t="shared" si="28"/>
        <v>0</v>
      </c>
      <c r="AM24" s="391">
        <f t="shared" si="29"/>
        <v>0</v>
      </c>
      <c r="AN24" s="391">
        <f t="shared" si="30"/>
        <v>0</v>
      </c>
      <c r="AO24" s="403">
        <f t="shared" si="31"/>
        <v>0</v>
      </c>
      <c r="AP24" s="405"/>
      <c r="AQ24" s="390" t="e">
        <f t="shared" si="32"/>
        <v>#N/A</v>
      </c>
      <c r="AR24" s="408">
        <f t="shared" si="33"/>
        <v>0</v>
      </c>
      <c r="AS24" s="409" t="str">
        <f t="shared" si="15"/>
        <v/>
      </c>
      <c r="AT24" s="416"/>
    </row>
    <row r="25" spans="1:46" ht="15" x14ac:dyDescent="0.25">
      <c r="A25" s="592">
        <v>22</v>
      </c>
      <c r="B25" s="604"/>
      <c r="C25" s="302"/>
      <c r="D25" s="304"/>
      <c r="E25" s="306"/>
      <c r="F25" s="308"/>
      <c r="G25" s="304"/>
      <c r="H25" s="304"/>
      <c r="I25" s="304"/>
      <c r="J25" s="304"/>
      <c r="K25" s="307"/>
      <c r="L25" s="590" t="str">
        <f t="shared" si="0"/>
        <v/>
      </c>
      <c r="M25" s="416"/>
      <c r="N25" s="405"/>
      <c r="O25" s="468" t="str">
        <f t="shared" si="34"/>
        <v xml:space="preserve"> </v>
      </c>
      <c r="P25" s="468" t="str">
        <f t="shared" si="35"/>
        <v xml:space="preserve"> </v>
      </c>
      <c r="Q25" s="468" t="str">
        <f t="shared" si="36"/>
        <v xml:space="preserve"> </v>
      </c>
      <c r="R25" s="468" t="str">
        <f t="shared" si="37"/>
        <v xml:space="preserve"> </v>
      </c>
      <c r="S25" s="468" t="str">
        <f t="shared" si="38"/>
        <v xml:space="preserve"> </v>
      </c>
      <c r="T25" s="468" t="str">
        <f t="shared" si="39"/>
        <v xml:space="preserve"> </v>
      </c>
      <c r="U25" s="405"/>
      <c r="V25" s="405"/>
      <c r="W25" s="405"/>
      <c r="X25" s="405"/>
      <c r="Y25" s="405"/>
      <c r="Z25" s="405"/>
      <c r="AA25" s="405"/>
      <c r="AB25" s="405"/>
      <c r="AC25" s="389" t="e">
        <f t="shared" si="19"/>
        <v>#N/A</v>
      </c>
      <c r="AD25" s="390">
        <f t="shared" si="20"/>
        <v>0</v>
      </c>
      <c r="AE25" s="390">
        <f t="shared" si="21"/>
        <v>0</v>
      </c>
      <c r="AF25" s="391">
        <f t="shared" si="22"/>
        <v>0</v>
      </c>
      <c r="AG25" s="392">
        <f t="shared" si="23"/>
        <v>0</v>
      </c>
      <c r="AH25" s="392">
        <f t="shared" si="24"/>
        <v>0</v>
      </c>
      <c r="AI25" s="392">
        <f t="shared" si="25"/>
        <v>0</v>
      </c>
      <c r="AJ25" s="393">
        <f t="shared" si="26"/>
        <v>0</v>
      </c>
      <c r="AK25" s="391">
        <f t="shared" si="27"/>
        <v>0</v>
      </c>
      <c r="AL25" s="391">
        <f t="shared" si="28"/>
        <v>0</v>
      </c>
      <c r="AM25" s="391">
        <f t="shared" si="29"/>
        <v>0</v>
      </c>
      <c r="AN25" s="391">
        <f t="shared" si="30"/>
        <v>0</v>
      </c>
      <c r="AO25" s="403">
        <f t="shared" si="31"/>
        <v>0</v>
      </c>
      <c r="AP25" s="405"/>
      <c r="AQ25" s="390" t="e">
        <f t="shared" si="32"/>
        <v>#N/A</v>
      </c>
      <c r="AR25" s="408">
        <f t="shared" si="33"/>
        <v>0</v>
      </c>
      <c r="AS25" s="409" t="str">
        <f t="shared" si="15"/>
        <v/>
      </c>
      <c r="AT25" s="416"/>
    </row>
    <row r="26" spans="1:46" ht="15" x14ac:dyDescent="0.25">
      <c r="A26" s="592">
        <v>23</v>
      </c>
      <c r="B26" s="604"/>
      <c r="C26" s="302"/>
      <c r="D26" s="304"/>
      <c r="E26" s="306"/>
      <c r="F26" s="308"/>
      <c r="G26" s="304"/>
      <c r="H26" s="304"/>
      <c r="I26" s="304"/>
      <c r="J26" s="304"/>
      <c r="K26" s="307"/>
      <c r="L26" s="590" t="str">
        <f t="shared" si="0"/>
        <v/>
      </c>
      <c r="M26" s="416"/>
      <c r="N26" s="405"/>
      <c r="O26" s="468" t="str">
        <f t="shared" si="34"/>
        <v xml:space="preserve"> </v>
      </c>
      <c r="P26" s="468" t="str">
        <f t="shared" si="35"/>
        <v xml:space="preserve"> </v>
      </c>
      <c r="Q26" s="468" t="str">
        <f t="shared" si="36"/>
        <v xml:space="preserve"> </v>
      </c>
      <c r="R26" s="468" t="str">
        <f t="shared" si="37"/>
        <v xml:space="preserve"> </v>
      </c>
      <c r="S26" s="468" t="str">
        <f t="shared" si="38"/>
        <v xml:space="preserve"> </v>
      </c>
      <c r="T26" s="468" t="str">
        <f t="shared" si="39"/>
        <v xml:space="preserve"> </v>
      </c>
      <c r="U26" s="405"/>
      <c r="V26" s="405"/>
      <c r="W26" s="405"/>
      <c r="X26" s="405"/>
      <c r="Y26" s="405"/>
      <c r="Z26" s="405"/>
      <c r="AA26" s="405"/>
      <c r="AB26" s="405"/>
      <c r="AC26" s="389" t="e">
        <f t="shared" si="19"/>
        <v>#N/A</v>
      </c>
      <c r="AD26" s="390">
        <f t="shared" si="20"/>
        <v>0</v>
      </c>
      <c r="AE26" s="390">
        <f t="shared" si="21"/>
        <v>0</v>
      </c>
      <c r="AF26" s="391">
        <f t="shared" si="22"/>
        <v>0</v>
      </c>
      <c r="AG26" s="392">
        <f t="shared" si="23"/>
        <v>0</v>
      </c>
      <c r="AH26" s="392">
        <f t="shared" si="24"/>
        <v>0</v>
      </c>
      <c r="AI26" s="392">
        <f t="shared" si="25"/>
        <v>0</v>
      </c>
      <c r="AJ26" s="393">
        <f t="shared" si="26"/>
        <v>0</v>
      </c>
      <c r="AK26" s="391">
        <f t="shared" si="27"/>
        <v>0</v>
      </c>
      <c r="AL26" s="391">
        <f t="shared" si="28"/>
        <v>0</v>
      </c>
      <c r="AM26" s="391">
        <f t="shared" si="29"/>
        <v>0</v>
      </c>
      <c r="AN26" s="391">
        <f t="shared" si="30"/>
        <v>0</v>
      </c>
      <c r="AO26" s="403">
        <f t="shared" si="31"/>
        <v>0</v>
      </c>
      <c r="AP26" s="405"/>
      <c r="AQ26" s="390" t="e">
        <f t="shared" si="32"/>
        <v>#N/A</v>
      </c>
      <c r="AR26" s="408">
        <f t="shared" si="33"/>
        <v>0</v>
      </c>
      <c r="AS26" s="409" t="str">
        <f t="shared" si="15"/>
        <v/>
      </c>
      <c r="AT26" s="416"/>
    </row>
    <row r="27" spans="1:46" ht="15" x14ac:dyDescent="0.25">
      <c r="A27" s="592">
        <v>24</v>
      </c>
      <c r="B27" s="604"/>
      <c r="C27" s="302"/>
      <c r="D27" s="304"/>
      <c r="E27" s="306"/>
      <c r="F27" s="308"/>
      <c r="G27" s="304"/>
      <c r="H27" s="304"/>
      <c r="I27" s="304"/>
      <c r="J27" s="304"/>
      <c r="K27" s="307"/>
      <c r="L27" s="590" t="str">
        <f t="shared" si="0"/>
        <v/>
      </c>
      <c r="M27" s="416"/>
      <c r="N27" s="405"/>
      <c r="O27" s="468" t="str">
        <f t="shared" si="34"/>
        <v xml:space="preserve"> </v>
      </c>
      <c r="P27" s="468" t="str">
        <f t="shared" si="35"/>
        <v xml:space="preserve"> </v>
      </c>
      <c r="Q27" s="468" t="str">
        <f t="shared" si="36"/>
        <v xml:space="preserve"> </v>
      </c>
      <c r="R27" s="468" t="str">
        <f t="shared" si="37"/>
        <v xml:space="preserve"> </v>
      </c>
      <c r="S27" s="468" t="str">
        <f t="shared" si="38"/>
        <v xml:space="preserve"> </v>
      </c>
      <c r="T27" s="468" t="str">
        <f t="shared" si="39"/>
        <v xml:space="preserve"> </v>
      </c>
      <c r="U27" s="405"/>
      <c r="V27" s="405"/>
      <c r="W27" s="405"/>
      <c r="X27" s="405"/>
      <c r="Y27" s="405"/>
      <c r="Z27" s="405"/>
      <c r="AA27" s="405"/>
      <c r="AB27" s="405"/>
      <c r="AC27" s="389" t="e">
        <f t="shared" si="19"/>
        <v>#N/A</v>
      </c>
      <c r="AD27" s="390">
        <f t="shared" si="20"/>
        <v>0</v>
      </c>
      <c r="AE27" s="390">
        <f t="shared" si="21"/>
        <v>0</v>
      </c>
      <c r="AF27" s="391">
        <f t="shared" si="22"/>
        <v>0</v>
      </c>
      <c r="AG27" s="392">
        <f t="shared" si="23"/>
        <v>0</v>
      </c>
      <c r="AH27" s="392">
        <f t="shared" si="24"/>
        <v>0</v>
      </c>
      <c r="AI27" s="392">
        <f t="shared" si="25"/>
        <v>0</v>
      </c>
      <c r="AJ27" s="393">
        <f t="shared" si="26"/>
        <v>0</v>
      </c>
      <c r="AK27" s="391">
        <f t="shared" si="27"/>
        <v>0</v>
      </c>
      <c r="AL27" s="391">
        <f t="shared" si="28"/>
        <v>0</v>
      </c>
      <c r="AM27" s="391">
        <f t="shared" si="29"/>
        <v>0</v>
      </c>
      <c r="AN27" s="391">
        <f t="shared" si="30"/>
        <v>0</v>
      </c>
      <c r="AO27" s="403">
        <f t="shared" si="31"/>
        <v>0</v>
      </c>
      <c r="AP27" s="405"/>
      <c r="AQ27" s="390" t="e">
        <f t="shared" si="32"/>
        <v>#N/A</v>
      </c>
      <c r="AR27" s="408">
        <f t="shared" si="33"/>
        <v>0</v>
      </c>
      <c r="AS27" s="409" t="str">
        <f t="shared" si="15"/>
        <v/>
      </c>
      <c r="AT27" s="416"/>
    </row>
    <row r="28" spans="1:46" ht="15" x14ac:dyDescent="0.25">
      <c r="A28" s="592">
        <v>25</v>
      </c>
      <c r="B28" s="604"/>
      <c r="C28" s="302"/>
      <c r="D28" s="304"/>
      <c r="E28" s="306"/>
      <c r="F28" s="308"/>
      <c r="G28" s="304"/>
      <c r="H28" s="304"/>
      <c r="I28" s="304"/>
      <c r="J28" s="304"/>
      <c r="K28" s="307"/>
      <c r="L28" s="590" t="str">
        <f t="shared" si="0"/>
        <v/>
      </c>
      <c r="M28" s="416"/>
      <c r="N28" s="405"/>
      <c r="O28" s="468" t="str">
        <f t="shared" si="34"/>
        <v xml:space="preserve"> </v>
      </c>
      <c r="P28" s="468" t="str">
        <f t="shared" si="35"/>
        <v xml:space="preserve"> </v>
      </c>
      <c r="Q28" s="468" t="str">
        <f t="shared" si="36"/>
        <v xml:space="preserve"> </v>
      </c>
      <c r="R28" s="468" t="str">
        <f t="shared" si="37"/>
        <v xml:space="preserve"> </v>
      </c>
      <c r="S28" s="468" t="str">
        <f t="shared" si="38"/>
        <v xml:space="preserve"> </v>
      </c>
      <c r="T28" s="468" t="str">
        <f t="shared" si="39"/>
        <v xml:space="preserve"> </v>
      </c>
      <c r="U28" s="405"/>
      <c r="V28" s="405"/>
      <c r="W28" s="405"/>
      <c r="X28" s="405"/>
      <c r="Y28" s="405"/>
      <c r="Z28" s="405"/>
      <c r="AA28" s="405"/>
      <c r="AB28" s="405"/>
      <c r="AC28" s="389" t="e">
        <f t="shared" si="19"/>
        <v>#N/A</v>
      </c>
      <c r="AD28" s="390">
        <f t="shared" si="20"/>
        <v>0</v>
      </c>
      <c r="AE28" s="390">
        <f t="shared" si="21"/>
        <v>0</v>
      </c>
      <c r="AF28" s="391">
        <f t="shared" si="22"/>
        <v>0</v>
      </c>
      <c r="AG28" s="392">
        <f t="shared" si="23"/>
        <v>0</v>
      </c>
      <c r="AH28" s="392">
        <f t="shared" si="24"/>
        <v>0</v>
      </c>
      <c r="AI28" s="392">
        <f t="shared" si="25"/>
        <v>0</v>
      </c>
      <c r="AJ28" s="393">
        <f t="shared" si="26"/>
        <v>0</v>
      </c>
      <c r="AK28" s="391">
        <f t="shared" si="27"/>
        <v>0</v>
      </c>
      <c r="AL28" s="391">
        <f t="shared" si="28"/>
        <v>0</v>
      </c>
      <c r="AM28" s="391">
        <f t="shared" si="29"/>
        <v>0</v>
      </c>
      <c r="AN28" s="391">
        <f t="shared" si="30"/>
        <v>0</v>
      </c>
      <c r="AO28" s="403">
        <f t="shared" si="31"/>
        <v>0</v>
      </c>
      <c r="AP28" s="405"/>
      <c r="AQ28" s="390" t="e">
        <f t="shared" si="32"/>
        <v>#N/A</v>
      </c>
      <c r="AR28" s="408">
        <f t="shared" si="33"/>
        <v>0</v>
      </c>
      <c r="AS28" s="409" t="str">
        <f t="shared" si="15"/>
        <v/>
      </c>
      <c r="AT28" s="416"/>
    </row>
    <row r="29" spans="1:46" ht="15" x14ac:dyDescent="0.25">
      <c r="A29" s="592">
        <v>26</v>
      </c>
      <c r="B29" s="604"/>
      <c r="C29" s="302"/>
      <c r="D29" s="304"/>
      <c r="E29" s="306"/>
      <c r="F29" s="308"/>
      <c r="G29" s="304"/>
      <c r="H29" s="304"/>
      <c r="I29" s="304"/>
      <c r="J29" s="304"/>
      <c r="K29" s="307"/>
      <c r="L29" s="590" t="str">
        <f t="shared" si="0"/>
        <v/>
      </c>
      <c r="M29" s="416"/>
      <c r="N29" s="405"/>
      <c r="O29" s="468" t="str">
        <f t="shared" si="34"/>
        <v xml:space="preserve"> </v>
      </c>
      <c r="P29" s="468" t="str">
        <f t="shared" si="35"/>
        <v xml:space="preserve"> </v>
      </c>
      <c r="Q29" s="468" t="str">
        <f t="shared" si="36"/>
        <v xml:space="preserve"> </v>
      </c>
      <c r="R29" s="468" t="str">
        <f t="shared" si="37"/>
        <v xml:space="preserve"> </v>
      </c>
      <c r="S29" s="468" t="str">
        <f t="shared" si="38"/>
        <v xml:space="preserve"> </v>
      </c>
      <c r="T29" s="468" t="str">
        <f t="shared" si="39"/>
        <v xml:space="preserve"> </v>
      </c>
      <c r="U29" s="405"/>
      <c r="V29" s="405"/>
      <c r="W29" s="405"/>
      <c r="X29" s="405"/>
      <c r="Y29" s="405"/>
      <c r="Z29" s="405"/>
      <c r="AA29" s="405"/>
      <c r="AB29" s="405"/>
      <c r="AC29" s="389" t="e">
        <f t="shared" si="19"/>
        <v>#N/A</v>
      </c>
      <c r="AD29" s="390">
        <f t="shared" si="20"/>
        <v>0</v>
      </c>
      <c r="AE29" s="390">
        <f t="shared" si="21"/>
        <v>0</v>
      </c>
      <c r="AF29" s="391">
        <f t="shared" si="22"/>
        <v>0</v>
      </c>
      <c r="AG29" s="392">
        <f t="shared" si="23"/>
        <v>0</v>
      </c>
      <c r="AH29" s="392">
        <f t="shared" si="24"/>
        <v>0</v>
      </c>
      <c r="AI29" s="392">
        <f t="shared" si="25"/>
        <v>0</v>
      </c>
      <c r="AJ29" s="393">
        <f t="shared" si="26"/>
        <v>0</v>
      </c>
      <c r="AK29" s="391">
        <f t="shared" si="27"/>
        <v>0</v>
      </c>
      <c r="AL29" s="391">
        <f t="shared" si="28"/>
        <v>0</v>
      </c>
      <c r="AM29" s="391">
        <f t="shared" si="29"/>
        <v>0</v>
      </c>
      <c r="AN29" s="391">
        <f t="shared" si="30"/>
        <v>0</v>
      </c>
      <c r="AO29" s="403">
        <f t="shared" si="31"/>
        <v>0</v>
      </c>
      <c r="AP29" s="405"/>
      <c r="AQ29" s="390" t="e">
        <f t="shared" si="32"/>
        <v>#N/A</v>
      </c>
      <c r="AR29" s="408">
        <f t="shared" si="33"/>
        <v>0</v>
      </c>
      <c r="AS29" s="409" t="str">
        <f t="shared" si="15"/>
        <v/>
      </c>
      <c r="AT29" s="416"/>
    </row>
    <row r="30" spans="1:46" ht="15" x14ac:dyDescent="0.25">
      <c r="A30" s="592">
        <v>27</v>
      </c>
      <c r="B30" s="604"/>
      <c r="C30" s="302"/>
      <c r="D30" s="304"/>
      <c r="E30" s="306"/>
      <c r="F30" s="698"/>
      <c r="G30" s="304"/>
      <c r="H30" s="304"/>
      <c r="I30" s="304"/>
      <c r="J30" s="304"/>
      <c r="K30" s="307"/>
      <c r="L30" s="590" t="str">
        <f t="shared" si="0"/>
        <v/>
      </c>
      <c r="M30" s="416"/>
      <c r="N30" s="405"/>
      <c r="O30" s="468" t="str">
        <f t="shared" si="34"/>
        <v xml:space="preserve"> </v>
      </c>
      <c r="P30" s="468" t="str">
        <f t="shared" si="35"/>
        <v xml:space="preserve"> </v>
      </c>
      <c r="Q30" s="468" t="str">
        <f t="shared" si="36"/>
        <v xml:space="preserve"> </v>
      </c>
      <c r="R30" s="468" t="str">
        <f t="shared" si="37"/>
        <v xml:space="preserve"> </v>
      </c>
      <c r="S30" s="468" t="str">
        <f t="shared" si="38"/>
        <v xml:space="preserve"> </v>
      </c>
      <c r="T30" s="468" t="str">
        <f t="shared" si="39"/>
        <v xml:space="preserve"> </v>
      </c>
      <c r="U30" s="405"/>
      <c r="V30" s="405"/>
      <c r="W30" s="405"/>
      <c r="X30" s="405"/>
      <c r="Y30" s="405"/>
      <c r="Z30" s="405"/>
      <c r="AA30" s="405"/>
      <c r="AB30" s="405"/>
      <c r="AC30" s="389" t="e">
        <f t="shared" si="19"/>
        <v>#N/A</v>
      </c>
      <c r="AD30" s="390">
        <f t="shared" si="20"/>
        <v>0</v>
      </c>
      <c r="AE30" s="390">
        <f t="shared" si="21"/>
        <v>0</v>
      </c>
      <c r="AF30" s="391">
        <f t="shared" si="22"/>
        <v>0</v>
      </c>
      <c r="AG30" s="392">
        <f t="shared" si="23"/>
        <v>0</v>
      </c>
      <c r="AH30" s="392">
        <f t="shared" si="24"/>
        <v>0</v>
      </c>
      <c r="AI30" s="392">
        <f t="shared" si="25"/>
        <v>0</v>
      </c>
      <c r="AJ30" s="393">
        <f t="shared" si="26"/>
        <v>0</v>
      </c>
      <c r="AK30" s="391">
        <f t="shared" si="27"/>
        <v>0</v>
      </c>
      <c r="AL30" s="391">
        <f t="shared" si="28"/>
        <v>0</v>
      </c>
      <c r="AM30" s="391">
        <f t="shared" si="29"/>
        <v>0</v>
      </c>
      <c r="AN30" s="391">
        <f t="shared" si="30"/>
        <v>0</v>
      </c>
      <c r="AO30" s="403">
        <f t="shared" si="31"/>
        <v>0</v>
      </c>
      <c r="AP30" s="405"/>
      <c r="AQ30" s="390" t="e">
        <f t="shared" si="32"/>
        <v>#N/A</v>
      </c>
      <c r="AR30" s="408">
        <f t="shared" si="33"/>
        <v>0</v>
      </c>
      <c r="AS30" s="409" t="str">
        <f t="shared" si="15"/>
        <v/>
      </c>
      <c r="AT30" s="416"/>
    </row>
    <row r="31" spans="1:46" ht="15" x14ac:dyDescent="0.25">
      <c r="A31" s="592">
        <v>28</v>
      </c>
      <c r="B31" s="604"/>
      <c r="C31" s="302"/>
      <c r="D31" s="304"/>
      <c r="E31" s="306"/>
      <c r="F31" s="698"/>
      <c r="G31" s="304"/>
      <c r="H31" s="304"/>
      <c r="I31" s="304"/>
      <c r="J31" s="304"/>
      <c r="K31" s="307"/>
      <c r="L31" s="590" t="str">
        <f t="shared" si="0"/>
        <v/>
      </c>
      <c r="M31" s="416"/>
      <c r="N31" s="405"/>
      <c r="O31" s="468" t="str">
        <f t="shared" si="34"/>
        <v xml:space="preserve"> </v>
      </c>
      <c r="P31" s="468" t="str">
        <f t="shared" si="35"/>
        <v xml:space="preserve"> </v>
      </c>
      <c r="Q31" s="468" t="str">
        <f t="shared" si="36"/>
        <v xml:space="preserve"> </v>
      </c>
      <c r="R31" s="468" t="str">
        <f t="shared" si="37"/>
        <v xml:space="preserve"> </v>
      </c>
      <c r="S31" s="468" t="str">
        <f t="shared" si="38"/>
        <v xml:space="preserve"> </v>
      </c>
      <c r="T31" s="468" t="str">
        <f t="shared" si="39"/>
        <v xml:space="preserve"> </v>
      </c>
      <c r="U31" s="405"/>
      <c r="V31" s="405"/>
      <c r="W31" s="405"/>
      <c r="X31" s="405"/>
      <c r="Y31" s="405"/>
      <c r="Z31" s="405"/>
      <c r="AA31" s="405"/>
      <c r="AB31" s="405"/>
      <c r="AC31" s="389" t="e">
        <f t="shared" si="19"/>
        <v>#N/A</v>
      </c>
      <c r="AD31" s="390">
        <f t="shared" si="20"/>
        <v>0</v>
      </c>
      <c r="AE31" s="390">
        <f t="shared" si="21"/>
        <v>0</v>
      </c>
      <c r="AF31" s="391">
        <f t="shared" si="22"/>
        <v>0</v>
      </c>
      <c r="AG31" s="392">
        <f t="shared" si="23"/>
        <v>0</v>
      </c>
      <c r="AH31" s="392">
        <f t="shared" si="24"/>
        <v>0</v>
      </c>
      <c r="AI31" s="392">
        <f t="shared" si="25"/>
        <v>0</v>
      </c>
      <c r="AJ31" s="393">
        <f t="shared" si="26"/>
        <v>0</v>
      </c>
      <c r="AK31" s="391">
        <f t="shared" si="27"/>
        <v>0</v>
      </c>
      <c r="AL31" s="391">
        <f t="shared" si="28"/>
        <v>0</v>
      </c>
      <c r="AM31" s="391">
        <f t="shared" si="29"/>
        <v>0</v>
      </c>
      <c r="AN31" s="391">
        <f t="shared" si="30"/>
        <v>0</v>
      </c>
      <c r="AO31" s="403">
        <f t="shared" si="31"/>
        <v>0</v>
      </c>
      <c r="AP31" s="405"/>
      <c r="AQ31" s="390" t="e">
        <f t="shared" si="32"/>
        <v>#N/A</v>
      </c>
      <c r="AR31" s="408">
        <f t="shared" si="33"/>
        <v>0</v>
      </c>
      <c r="AS31" s="409" t="str">
        <f t="shared" si="15"/>
        <v/>
      </c>
      <c r="AT31" s="416"/>
    </row>
    <row r="32" spans="1:46" ht="15" x14ac:dyDescent="0.25">
      <c r="A32" s="592">
        <v>29</v>
      </c>
      <c r="B32" s="604"/>
      <c r="C32" s="302"/>
      <c r="D32" s="304"/>
      <c r="E32" s="306"/>
      <c r="F32" s="698"/>
      <c r="G32" s="304"/>
      <c r="H32" s="304"/>
      <c r="I32" s="304"/>
      <c r="J32" s="304"/>
      <c r="K32" s="307"/>
      <c r="L32" s="590" t="str">
        <f t="shared" si="0"/>
        <v/>
      </c>
      <c r="M32" s="416"/>
      <c r="N32" s="405"/>
      <c r="O32" s="468" t="str">
        <f t="shared" ref="O32:O95" si="40">IF(AND($F17="Studio",$L17="Yes"),$E17," ")</f>
        <v xml:space="preserve"> </v>
      </c>
      <c r="P32" s="468" t="str">
        <f t="shared" ref="P32:P95" si="41">IF(AND($F17=1,$L17="Yes"),$E17," ")</f>
        <v xml:space="preserve"> </v>
      </c>
      <c r="Q32" s="468" t="str">
        <f t="shared" ref="Q32:Q95" si="42">IF(AND($F17=2,$L17="Yes"),$E17," ")</f>
        <v xml:space="preserve"> </v>
      </c>
      <c r="R32" s="468" t="str">
        <f t="shared" ref="R32:R95" si="43">IF(AND($F17=3,$L17="Yes"),$E17," ")</f>
        <v xml:space="preserve"> </v>
      </c>
      <c r="S32" s="468" t="str">
        <f t="shared" ref="S32:S95" si="44">IF(AND($F17=4,$L17="Yes"),$E17," ")</f>
        <v xml:space="preserve"> </v>
      </c>
      <c r="T32" s="468" t="str">
        <f t="shared" ref="T32:T95" si="45">IF(AND($F17=5,$L17="Yes"),$E17," ")</f>
        <v xml:space="preserve"> </v>
      </c>
      <c r="U32" s="405"/>
      <c r="V32" s="405"/>
      <c r="W32" s="405"/>
      <c r="X32" s="405"/>
      <c r="Y32" s="405"/>
      <c r="Z32" s="405"/>
      <c r="AA32" s="405"/>
      <c r="AB32" s="405"/>
      <c r="AC32" s="389" t="e">
        <f t="shared" si="19"/>
        <v>#N/A</v>
      </c>
      <c r="AD32" s="390">
        <f t="shared" si="20"/>
        <v>0</v>
      </c>
      <c r="AE32" s="390">
        <f t="shared" si="21"/>
        <v>0</v>
      </c>
      <c r="AF32" s="391">
        <f t="shared" si="22"/>
        <v>0</v>
      </c>
      <c r="AG32" s="392">
        <f t="shared" si="23"/>
        <v>0</v>
      </c>
      <c r="AH32" s="392">
        <f t="shared" si="24"/>
        <v>0</v>
      </c>
      <c r="AI32" s="392">
        <f t="shared" si="25"/>
        <v>0</v>
      </c>
      <c r="AJ32" s="393">
        <f t="shared" si="26"/>
        <v>0</v>
      </c>
      <c r="AK32" s="391">
        <f t="shared" si="27"/>
        <v>0</v>
      </c>
      <c r="AL32" s="391">
        <f t="shared" si="28"/>
        <v>0</v>
      </c>
      <c r="AM32" s="391">
        <f t="shared" si="29"/>
        <v>0</v>
      </c>
      <c r="AN32" s="391">
        <f t="shared" si="30"/>
        <v>0</v>
      </c>
      <c r="AO32" s="403">
        <f t="shared" si="31"/>
        <v>0</v>
      </c>
      <c r="AP32" s="405"/>
      <c r="AQ32" s="390" t="e">
        <f t="shared" si="32"/>
        <v>#N/A</v>
      </c>
      <c r="AR32" s="408">
        <f t="shared" si="33"/>
        <v>0</v>
      </c>
      <c r="AS32" s="409" t="str">
        <f t="shared" si="15"/>
        <v/>
      </c>
      <c r="AT32" s="416"/>
    </row>
    <row r="33" spans="1:46" ht="15" x14ac:dyDescent="0.25">
      <c r="A33" s="592">
        <v>30</v>
      </c>
      <c r="B33" s="604"/>
      <c r="C33" s="302"/>
      <c r="D33" s="304"/>
      <c r="E33" s="306"/>
      <c r="F33" s="698"/>
      <c r="G33" s="304"/>
      <c r="H33" s="304"/>
      <c r="I33" s="304"/>
      <c r="J33" s="304"/>
      <c r="K33" s="307"/>
      <c r="L33" s="590" t="str">
        <f t="shared" si="0"/>
        <v/>
      </c>
      <c r="M33" s="416"/>
      <c r="N33" s="405"/>
      <c r="O33" s="468" t="str">
        <f t="shared" si="40"/>
        <v xml:space="preserve"> </v>
      </c>
      <c r="P33" s="468" t="str">
        <f t="shared" si="41"/>
        <v xml:space="preserve"> </v>
      </c>
      <c r="Q33" s="468" t="str">
        <f t="shared" si="42"/>
        <v xml:space="preserve"> </v>
      </c>
      <c r="R33" s="468" t="str">
        <f t="shared" si="43"/>
        <v xml:space="preserve"> </v>
      </c>
      <c r="S33" s="468" t="str">
        <f t="shared" si="44"/>
        <v xml:space="preserve"> </v>
      </c>
      <c r="T33" s="468" t="str">
        <f t="shared" si="45"/>
        <v xml:space="preserve"> </v>
      </c>
      <c r="U33" s="405"/>
      <c r="V33" s="405"/>
      <c r="W33" s="405"/>
      <c r="X33" s="405"/>
      <c r="Y33" s="405"/>
      <c r="Z33" s="405"/>
      <c r="AA33" s="405"/>
      <c r="AB33" s="405"/>
      <c r="AC33" s="389" t="e">
        <f t="shared" si="19"/>
        <v>#N/A</v>
      </c>
      <c r="AD33" s="390">
        <f t="shared" si="20"/>
        <v>0</v>
      </c>
      <c r="AE33" s="390">
        <f t="shared" si="21"/>
        <v>0</v>
      </c>
      <c r="AF33" s="391">
        <f t="shared" si="22"/>
        <v>0</v>
      </c>
      <c r="AG33" s="392">
        <f t="shared" si="23"/>
        <v>0</v>
      </c>
      <c r="AH33" s="392">
        <f t="shared" si="24"/>
        <v>0</v>
      </c>
      <c r="AI33" s="392">
        <f t="shared" si="25"/>
        <v>0</v>
      </c>
      <c r="AJ33" s="393">
        <f t="shared" si="26"/>
        <v>0</v>
      </c>
      <c r="AK33" s="391">
        <f t="shared" si="27"/>
        <v>0</v>
      </c>
      <c r="AL33" s="391">
        <f t="shared" si="28"/>
        <v>0</v>
      </c>
      <c r="AM33" s="391">
        <f t="shared" si="29"/>
        <v>0</v>
      </c>
      <c r="AN33" s="391">
        <f t="shared" si="30"/>
        <v>0</v>
      </c>
      <c r="AO33" s="403">
        <f t="shared" si="31"/>
        <v>0</v>
      </c>
      <c r="AP33" s="405"/>
      <c r="AQ33" s="390" t="e">
        <f t="shared" si="32"/>
        <v>#N/A</v>
      </c>
      <c r="AR33" s="408">
        <f t="shared" si="33"/>
        <v>0</v>
      </c>
      <c r="AS33" s="409" t="str">
        <f t="shared" si="15"/>
        <v/>
      </c>
      <c r="AT33" s="416"/>
    </row>
    <row r="34" spans="1:46" ht="15" x14ac:dyDescent="0.25">
      <c r="A34" s="592">
        <v>31</v>
      </c>
      <c r="B34" s="604"/>
      <c r="C34" s="302"/>
      <c r="D34" s="304"/>
      <c r="E34" s="306"/>
      <c r="F34" s="698"/>
      <c r="G34" s="304"/>
      <c r="H34" s="304"/>
      <c r="I34" s="304"/>
      <c r="J34" s="304"/>
      <c r="K34" s="307"/>
      <c r="L34" s="590" t="str">
        <f t="shared" si="0"/>
        <v/>
      </c>
      <c r="M34" s="416"/>
      <c r="N34" s="405"/>
      <c r="O34" s="468" t="str">
        <f t="shared" si="40"/>
        <v xml:space="preserve"> </v>
      </c>
      <c r="P34" s="468" t="str">
        <f t="shared" si="41"/>
        <v xml:space="preserve"> </v>
      </c>
      <c r="Q34" s="468" t="str">
        <f t="shared" si="42"/>
        <v xml:space="preserve"> </v>
      </c>
      <c r="R34" s="468" t="str">
        <f t="shared" si="43"/>
        <v xml:space="preserve"> </v>
      </c>
      <c r="S34" s="468" t="str">
        <f t="shared" si="44"/>
        <v xml:space="preserve"> </v>
      </c>
      <c r="T34" s="468" t="str">
        <f t="shared" si="45"/>
        <v xml:space="preserve"> </v>
      </c>
      <c r="U34" s="405"/>
      <c r="V34" s="405"/>
      <c r="W34" s="405"/>
      <c r="X34" s="405"/>
      <c r="Y34" s="405"/>
      <c r="Z34" s="405"/>
      <c r="AA34" s="405"/>
      <c r="AB34" s="405"/>
      <c r="AC34" s="389" t="e">
        <f t="shared" si="19"/>
        <v>#N/A</v>
      </c>
      <c r="AD34" s="390">
        <f t="shared" si="20"/>
        <v>0</v>
      </c>
      <c r="AE34" s="390">
        <f t="shared" si="21"/>
        <v>0</v>
      </c>
      <c r="AF34" s="391">
        <f t="shared" si="22"/>
        <v>0</v>
      </c>
      <c r="AG34" s="392">
        <f t="shared" si="23"/>
        <v>0</v>
      </c>
      <c r="AH34" s="392">
        <f t="shared" si="24"/>
        <v>0</v>
      </c>
      <c r="AI34" s="392">
        <f t="shared" si="25"/>
        <v>0</v>
      </c>
      <c r="AJ34" s="393">
        <f t="shared" si="26"/>
        <v>0</v>
      </c>
      <c r="AK34" s="391">
        <f t="shared" si="27"/>
        <v>0</v>
      </c>
      <c r="AL34" s="391">
        <f t="shared" si="28"/>
        <v>0</v>
      </c>
      <c r="AM34" s="391">
        <f t="shared" si="29"/>
        <v>0</v>
      </c>
      <c r="AN34" s="391">
        <f t="shared" si="30"/>
        <v>0</v>
      </c>
      <c r="AO34" s="403">
        <f t="shared" si="31"/>
        <v>0</v>
      </c>
      <c r="AP34" s="405"/>
      <c r="AQ34" s="390" t="e">
        <f t="shared" si="32"/>
        <v>#N/A</v>
      </c>
      <c r="AR34" s="408">
        <f t="shared" si="33"/>
        <v>0</v>
      </c>
      <c r="AS34" s="409" t="str">
        <f t="shared" si="15"/>
        <v/>
      </c>
      <c r="AT34" s="416"/>
    </row>
    <row r="35" spans="1:46" ht="15" x14ac:dyDescent="0.25">
      <c r="A35" s="592">
        <v>32</v>
      </c>
      <c r="B35" s="604"/>
      <c r="C35" s="302"/>
      <c r="D35" s="304"/>
      <c r="E35" s="306"/>
      <c r="F35" s="698"/>
      <c r="G35" s="304"/>
      <c r="H35" s="304"/>
      <c r="I35" s="304"/>
      <c r="J35" s="304"/>
      <c r="K35" s="307"/>
      <c r="L35" s="590" t="str">
        <f t="shared" si="0"/>
        <v/>
      </c>
      <c r="M35" s="416"/>
      <c r="N35" s="405"/>
      <c r="O35" s="468" t="str">
        <f t="shared" si="40"/>
        <v xml:space="preserve"> </v>
      </c>
      <c r="P35" s="468" t="str">
        <f t="shared" si="41"/>
        <v xml:space="preserve"> </v>
      </c>
      <c r="Q35" s="468" t="str">
        <f t="shared" si="42"/>
        <v xml:space="preserve"> </v>
      </c>
      <c r="R35" s="468" t="str">
        <f t="shared" si="43"/>
        <v xml:space="preserve"> </v>
      </c>
      <c r="S35" s="468" t="str">
        <f t="shared" si="44"/>
        <v xml:space="preserve"> </v>
      </c>
      <c r="T35" s="468" t="str">
        <f t="shared" si="45"/>
        <v xml:space="preserve"> </v>
      </c>
      <c r="U35" s="405"/>
      <c r="V35" s="405"/>
      <c r="W35" s="405"/>
      <c r="X35" s="405"/>
      <c r="Y35" s="405"/>
      <c r="Z35" s="405"/>
      <c r="AA35" s="405"/>
      <c r="AB35" s="405"/>
      <c r="AC35" s="389" t="e">
        <f t="shared" si="19"/>
        <v>#N/A</v>
      </c>
      <c r="AD35" s="390">
        <f t="shared" si="20"/>
        <v>0</v>
      </c>
      <c r="AE35" s="390">
        <f t="shared" si="21"/>
        <v>0</v>
      </c>
      <c r="AF35" s="391">
        <f t="shared" si="22"/>
        <v>0</v>
      </c>
      <c r="AG35" s="392">
        <f t="shared" si="23"/>
        <v>0</v>
      </c>
      <c r="AH35" s="392">
        <f t="shared" si="24"/>
        <v>0</v>
      </c>
      <c r="AI35" s="392">
        <f t="shared" si="25"/>
        <v>0</v>
      </c>
      <c r="AJ35" s="393">
        <f t="shared" si="26"/>
        <v>0</v>
      </c>
      <c r="AK35" s="391">
        <f t="shared" si="27"/>
        <v>0</v>
      </c>
      <c r="AL35" s="391">
        <f t="shared" si="28"/>
        <v>0</v>
      </c>
      <c r="AM35" s="391">
        <f t="shared" si="29"/>
        <v>0</v>
      </c>
      <c r="AN35" s="391">
        <f t="shared" si="30"/>
        <v>0</v>
      </c>
      <c r="AO35" s="403">
        <f t="shared" si="31"/>
        <v>0</v>
      </c>
      <c r="AP35" s="405"/>
      <c r="AQ35" s="390" t="e">
        <f t="shared" si="32"/>
        <v>#N/A</v>
      </c>
      <c r="AR35" s="408">
        <f t="shared" si="33"/>
        <v>0</v>
      </c>
      <c r="AS35" s="409" t="str">
        <f t="shared" si="15"/>
        <v/>
      </c>
      <c r="AT35" s="416"/>
    </row>
    <row r="36" spans="1:46" ht="15" x14ac:dyDescent="0.25">
      <c r="A36" s="592">
        <v>33</v>
      </c>
      <c r="B36" s="604"/>
      <c r="C36" s="302"/>
      <c r="D36" s="304"/>
      <c r="E36" s="306"/>
      <c r="F36" s="698"/>
      <c r="G36" s="304"/>
      <c r="H36" s="304"/>
      <c r="I36" s="304"/>
      <c r="J36" s="304"/>
      <c r="K36" s="307"/>
      <c r="L36" s="590" t="str">
        <f t="shared" si="0"/>
        <v/>
      </c>
      <c r="M36" s="416"/>
      <c r="N36" s="405"/>
      <c r="O36" s="468" t="str">
        <f t="shared" si="40"/>
        <v xml:space="preserve"> </v>
      </c>
      <c r="P36" s="468" t="str">
        <f t="shared" si="41"/>
        <v xml:space="preserve"> </v>
      </c>
      <c r="Q36" s="468" t="str">
        <f t="shared" si="42"/>
        <v xml:space="preserve"> </v>
      </c>
      <c r="R36" s="468" t="str">
        <f t="shared" si="43"/>
        <v xml:space="preserve"> </v>
      </c>
      <c r="S36" s="468" t="str">
        <f t="shared" si="44"/>
        <v xml:space="preserve"> </v>
      </c>
      <c r="T36" s="468" t="str">
        <f t="shared" si="45"/>
        <v xml:space="preserve"> </v>
      </c>
      <c r="U36" s="405"/>
      <c r="V36" s="405"/>
      <c r="W36" s="405"/>
      <c r="X36" s="405"/>
      <c r="Y36" s="405"/>
      <c r="Z36" s="405"/>
      <c r="AA36" s="405"/>
      <c r="AB36" s="405"/>
      <c r="AC36" s="389" t="e">
        <f t="shared" si="19"/>
        <v>#N/A</v>
      </c>
      <c r="AD36" s="390">
        <f t="shared" si="20"/>
        <v>0</v>
      </c>
      <c r="AE36" s="390">
        <f t="shared" si="21"/>
        <v>0</v>
      </c>
      <c r="AF36" s="391">
        <f t="shared" si="22"/>
        <v>0</v>
      </c>
      <c r="AG36" s="392">
        <f t="shared" si="23"/>
        <v>0</v>
      </c>
      <c r="AH36" s="392">
        <f t="shared" si="24"/>
        <v>0</v>
      </c>
      <c r="AI36" s="392">
        <f t="shared" si="25"/>
        <v>0</v>
      </c>
      <c r="AJ36" s="393">
        <f t="shared" si="26"/>
        <v>0</v>
      </c>
      <c r="AK36" s="391">
        <f t="shared" si="27"/>
        <v>0</v>
      </c>
      <c r="AL36" s="391">
        <f t="shared" si="28"/>
        <v>0</v>
      </c>
      <c r="AM36" s="391">
        <f t="shared" si="29"/>
        <v>0</v>
      </c>
      <c r="AN36" s="391">
        <f t="shared" si="30"/>
        <v>0</v>
      </c>
      <c r="AO36" s="403">
        <f t="shared" si="31"/>
        <v>0</v>
      </c>
      <c r="AP36" s="405"/>
      <c r="AQ36" s="390" t="e">
        <f t="shared" si="32"/>
        <v>#N/A</v>
      </c>
      <c r="AR36" s="408">
        <f t="shared" si="33"/>
        <v>0</v>
      </c>
      <c r="AS36" s="409" t="str">
        <f t="shared" si="15"/>
        <v/>
      </c>
      <c r="AT36" s="416"/>
    </row>
    <row r="37" spans="1:46" ht="15" x14ac:dyDescent="0.25">
      <c r="A37" s="592">
        <v>34</v>
      </c>
      <c r="B37" s="604"/>
      <c r="C37" s="302"/>
      <c r="D37" s="304"/>
      <c r="E37" s="306"/>
      <c r="F37" s="698"/>
      <c r="G37" s="304"/>
      <c r="H37" s="304"/>
      <c r="I37" s="304"/>
      <c r="J37" s="304"/>
      <c r="K37" s="307"/>
      <c r="L37" s="590" t="str">
        <f t="shared" si="0"/>
        <v/>
      </c>
      <c r="M37" s="416"/>
      <c r="N37" s="405"/>
      <c r="O37" s="468" t="str">
        <f t="shared" si="40"/>
        <v xml:space="preserve"> </v>
      </c>
      <c r="P37" s="468" t="str">
        <f t="shared" si="41"/>
        <v xml:space="preserve"> </v>
      </c>
      <c r="Q37" s="468" t="str">
        <f t="shared" si="42"/>
        <v xml:space="preserve"> </v>
      </c>
      <c r="R37" s="468" t="str">
        <f t="shared" si="43"/>
        <v xml:space="preserve"> </v>
      </c>
      <c r="S37" s="468" t="str">
        <f t="shared" si="44"/>
        <v xml:space="preserve"> </v>
      </c>
      <c r="T37" s="468" t="str">
        <f t="shared" si="45"/>
        <v xml:space="preserve"> </v>
      </c>
      <c r="U37" s="405"/>
      <c r="V37" s="405"/>
      <c r="W37" s="405"/>
      <c r="X37" s="405"/>
      <c r="Y37" s="405"/>
      <c r="Z37" s="405"/>
      <c r="AA37" s="405"/>
      <c r="AB37" s="405"/>
      <c r="AC37" s="389" t="e">
        <f t="shared" si="19"/>
        <v>#N/A</v>
      </c>
      <c r="AD37" s="390">
        <f t="shared" si="20"/>
        <v>0</v>
      </c>
      <c r="AE37" s="390">
        <f t="shared" si="21"/>
        <v>0</v>
      </c>
      <c r="AF37" s="391">
        <f t="shared" si="22"/>
        <v>0</v>
      </c>
      <c r="AG37" s="392">
        <f t="shared" si="23"/>
        <v>0</v>
      </c>
      <c r="AH37" s="392">
        <f t="shared" si="24"/>
        <v>0</v>
      </c>
      <c r="AI37" s="392">
        <f t="shared" si="25"/>
        <v>0</v>
      </c>
      <c r="AJ37" s="393">
        <f t="shared" si="26"/>
        <v>0</v>
      </c>
      <c r="AK37" s="391">
        <f t="shared" si="27"/>
        <v>0</v>
      </c>
      <c r="AL37" s="391">
        <f t="shared" si="28"/>
        <v>0</v>
      </c>
      <c r="AM37" s="391">
        <f t="shared" si="29"/>
        <v>0</v>
      </c>
      <c r="AN37" s="391">
        <f t="shared" si="30"/>
        <v>0</v>
      </c>
      <c r="AO37" s="403">
        <f t="shared" si="31"/>
        <v>0</v>
      </c>
      <c r="AP37" s="405"/>
      <c r="AQ37" s="390" t="e">
        <f t="shared" si="32"/>
        <v>#N/A</v>
      </c>
      <c r="AR37" s="408">
        <f t="shared" si="33"/>
        <v>0</v>
      </c>
      <c r="AS37" s="409" t="str">
        <f t="shared" si="15"/>
        <v/>
      </c>
      <c r="AT37" s="416"/>
    </row>
    <row r="38" spans="1:46" ht="15" x14ac:dyDescent="0.25">
      <c r="A38" s="592">
        <v>35</v>
      </c>
      <c r="B38" s="604"/>
      <c r="C38" s="302"/>
      <c r="D38" s="304"/>
      <c r="E38" s="306"/>
      <c r="F38" s="698"/>
      <c r="G38" s="304"/>
      <c r="H38" s="304"/>
      <c r="I38" s="304"/>
      <c r="J38" s="304"/>
      <c r="K38" s="307"/>
      <c r="L38" s="590" t="str">
        <f t="shared" si="0"/>
        <v/>
      </c>
      <c r="M38" s="416"/>
      <c r="N38" s="405"/>
      <c r="O38" s="468" t="str">
        <f t="shared" si="40"/>
        <v xml:space="preserve"> </v>
      </c>
      <c r="P38" s="468" t="str">
        <f t="shared" si="41"/>
        <v xml:space="preserve"> </v>
      </c>
      <c r="Q38" s="468" t="str">
        <f t="shared" si="42"/>
        <v xml:space="preserve"> </v>
      </c>
      <c r="R38" s="468" t="str">
        <f t="shared" si="43"/>
        <v xml:space="preserve"> </v>
      </c>
      <c r="S38" s="468" t="str">
        <f t="shared" si="44"/>
        <v xml:space="preserve"> </v>
      </c>
      <c r="T38" s="468" t="str">
        <f t="shared" si="45"/>
        <v xml:space="preserve"> </v>
      </c>
      <c r="U38" s="405"/>
      <c r="V38" s="405"/>
      <c r="W38" s="405"/>
      <c r="X38" s="405"/>
      <c r="Y38" s="405"/>
      <c r="Z38" s="405"/>
      <c r="AA38" s="405"/>
      <c r="AB38" s="405"/>
      <c r="AC38" s="389" t="e">
        <f t="shared" si="19"/>
        <v>#N/A</v>
      </c>
      <c r="AD38" s="390">
        <f t="shared" si="20"/>
        <v>0</v>
      </c>
      <c r="AE38" s="390">
        <f t="shared" si="21"/>
        <v>0</v>
      </c>
      <c r="AF38" s="391">
        <f t="shared" si="22"/>
        <v>0</v>
      </c>
      <c r="AG38" s="392">
        <f t="shared" si="23"/>
        <v>0</v>
      </c>
      <c r="AH38" s="392">
        <f t="shared" si="24"/>
        <v>0</v>
      </c>
      <c r="AI38" s="392">
        <f t="shared" si="25"/>
        <v>0</v>
      </c>
      <c r="AJ38" s="393">
        <f t="shared" si="26"/>
        <v>0</v>
      </c>
      <c r="AK38" s="391">
        <f t="shared" si="27"/>
        <v>0</v>
      </c>
      <c r="AL38" s="391">
        <f t="shared" si="28"/>
        <v>0</v>
      </c>
      <c r="AM38" s="391">
        <f t="shared" si="29"/>
        <v>0</v>
      </c>
      <c r="AN38" s="391">
        <f t="shared" si="30"/>
        <v>0</v>
      </c>
      <c r="AO38" s="403">
        <f t="shared" si="31"/>
        <v>0</v>
      </c>
      <c r="AP38" s="405"/>
      <c r="AQ38" s="390" t="e">
        <f t="shared" si="32"/>
        <v>#N/A</v>
      </c>
      <c r="AR38" s="408">
        <f t="shared" si="33"/>
        <v>0</v>
      </c>
      <c r="AS38" s="409" t="str">
        <f t="shared" si="15"/>
        <v/>
      </c>
      <c r="AT38" s="416"/>
    </row>
    <row r="39" spans="1:46" ht="15" x14ac:dyDescent="0.25">
      <c r="A39" s="592">
        <v>36</v>
      </c>
      <c r="B39" s="604"/>
      <c r="C39" s="302"/>
      <c r="D39" s="304"/>
      <c r="E39" s="306"/>
      <c r="F39" s="698"/>
      <c r="G39" s="304"/>
      <c r="H39" s="304"/>
      <c r="I39" s="304"/>
      <c r="J39" s="304"/>
      <c r="K39" s="307"/>
      <c r="L39" s="590" t="str">
        <f t="shared" si="0"/>
        <v/>
      </c>
      <c r="M39" s="416"/>
      <c r="N39" s="405"/>
      <c r="O39" s="468" t="str">
        <f t="shared" si="40"/>
        <v xml:space="preserve"> </v>
      </c>
      <c r="P39" s="468" t="str">
        <f t="shared" si="41"/>
        <v xml:space="preserve"> </v>
      </c>
      <c r="Q39" s="468" t="str">
        <f t="shared" si="42"/>
        <v xml:space="preserve"> </v>
      </c>
      <c r="R39" s="468" t="str">
        <f t="shared" si="43"/>
        <v xml:space="preserve"> </v>
      </c>
      <c r="S39" s="468" t="str">
        <f t="shared" si="44"/>
        <v xml:space="preserve"> </v>
      </c>
      <c r="T39" s="468" t="str">
        <f t="shared" si="45"/>
        <v xml:space="preserve"> </v>
      </c>
      <c r="U39" s="405"/>
      <c r="V39" s="405"/>
      <c r="W39" s="405"/>
      <c r="X39" s="405"/>
      <c r="Y39" s="405"/>
      <c r="Z39" s="405"/>
      <c r="AA39" s="405"/>
      <c r="AB39" s="405"/>
      <c r="AC39" s="389" t="e">
        <f t="shared" si="19"/>
        <v>#N/A</v>
      </c>
      <c r="AD39" s="390">
        <f t="shared" si="20"/>
        <v>0</v>
      </c>
      <c r="AE39" s="390">
        <f t="shared" si="21"/>
        <v>0</v>
      </c>
      <c r="AF39" s="391">
        <f t="shared" si="22"/>
        <v>0</v>
      </c>
      <c r="AG39" s="392">
        <f t="shared" si="23"/>
        <v>0</v>
      </c>
      <c r="AH39" s="392">
        <f t="shared" si="24"/>
        <v>0</v>
      </c>
      <c r="AI39" s="392">
        <f t="shared" si="25"/>
        <v>0</v>
      </c>
      <c r="AJ39" s="393">
        <f t="shared" si="26"/>
        <v>0</v>
      </c>
      <c r="AK39" s="391">
        <f t="shared" si="27"/>
        <v>0</v>
      </c>
      <c r="AL39" s="391">
        <f t="shared" si="28"/>
        <v>0</v>
      </c>
      <c r="AM39" s="391">
        <f t="shared" si="29"/>
        <v>0</v>
      </c>
      <c r="AN39" s="391">
        <f t="shared" si="30"/>
        <v>0</v>
      </c>
      <c r="AO39" s="403">
        <f t="shared" si="31"/>
        <v>0</v>
      </c>
      <c r="AP39" s="405"/>
      <c r="AQ39" s="390" t="e">
        <f t="shared" si="32"/>
        <v>#N/A</v>
      </c>
      <c r="AR39" s="408">
        <f t="shared" si="33"/>
        <v>0</v>
      </c>
      <c r="AS39" s="409" t="str">
        <f t="shared" si="15"/>
        <v/>
      </c>
      <c r="AT39" s="416"/>
    </row>
    <row r="40" spans="1:46" ht="15" x14ac:dyDescent="0.25">
      <c r="A40" s="592">
        <v>37</v>
      </c>
      <c r="B40" s="604"/>
      <c r="C40" s="302"/>
      <c r="D40" s="304"/>
      <c r="E40" s="306"/>
      <c r="F40" s="698"/>
      <c r="G40" s="304"/>
      <c r="H40" s="304"/>
      <c r="I40" s="304"/>
      <c r="J40" s="304"/>
      <c r="K40" s="307"/>
      <c r="L40" s="590" t="str">
        <f t="shared" si="0"/>
        <v/>
      </c>
      <c r="M40" s="416"/>
      <c r="N40" s="405"/>
      <c r="O40" s="468" t="str">
        <f t="shared" si="40"/>
        <v xml:space="preserve"> </v>
      </c>
      <c r="P40" s="468" t="str">
        <f t="shared" si="41"/>
        <v xml:space="preserve"> </v>
      </c>
      <c r="Q40" s="468" t="str">
        <f t="shared" si="42"/>
        <v xml:space="preserve"> </v>
      </c>
      <c r="R40" s="468" t="str">
        <f t="shared" si="43"/>
        <v xml:space="preserve"> </v>
      </c>
      <c r="S40" s="468" t="str">
        <f t="shared" si="44"/>
        <v xml:space="preserve"> </v>
      </c>
      <c r="T40" s="468" t="str">
        <f t="shared" si="45"/>
        <v xml:space="preserve"> </v>
      </c>
      <c r="U40" s="405"/>
      <c r="V40" s="405"/>
      <c r="W40" s="405"/>
      <c r="X40" s="405"/>
      <c r="Y40" s="405"/>
      <c r="Z40" s="405"/>
      <c r="AA40" s="405"/>
      <c r="AB40" s="405"/>
      <c r="AC40" s="389" t="e">
        <f t="shared" si="19"/>
        <v>#N/A</v>
      </c>
      <c r="AD40" s="390">
        <f t="shared" si="20"/>
        <v>0</v>
      </c>
      <c r="AE40" s="390">
        <f t="shared" si="21"/>
        <v>0</v>
      </c>
      <c r="AF40" s="391">
        <f t="shared" si="22"/>
        <v>0</v>
      </c>
      <c r="AG40" s="392">
        <f t="shared" si="23"/>
        <v>0</v>
      </c>
      <c r="AH40" s="392">
        <f t="shared" si="24"/>
        <v>0</v>
      </c>
      <c r="AI40" s="392">
        <f t="shared" si="25"/>
        <v>0</v>
      </c>
      <c r="AJ40" s="393">
        <f t="shared" si="26"/>
        <v>0</v>
      </c>
      <c r="AK40" s="391">
        <f t="shared" si="27"/>
        <v>0</v>
      </c>
      <c r="AL40" s="391">
        <f t="shared" si="28"/>
        <v>0</v>
      </c>
      <c r="AM40" s="391">
        <f t="shared" si="29"/>
        <v>0</v>
      </c>
      <c r="AN40" s="391">
        <f t="shared" si="30"/>
        <v>0</v>
      </c>
      <c r="AO40" s="403">
        <f t="shared" si="31"/>
        <v>0</v>
      </c>
      <c r="AP40" s="405"/>
      <c r="AQ40" s="390" t="e">
        <f t="shared" si="32"/>
        <v>#N/A</v>
      </c>
      <c r="AR40" s="408">
        <f t="shared" si="33"/>
        <v>0</v>
      </c>
      <c r="AS40" s="409" t="str">
        <f t="shared" si="15"/>
        <v/>
      </c>
      <c r="AT40" s="416"/>
    </row>
    <row r="41" spans="1:46" ht="15" x14ac:dyDescent="0.25">
      <c r="A41" s="592">
        <v>38</v>
      </c>
      <c r="B41" s="604"/>
      <c r="C41" s="302"/>
      <c r="D41" s="304"/>
      <c r="E41" s="306"/>
      <c r="F41" s="698"/>
      <c r="G41" s="304"/>
      <c r="H41" s="304"/>
      <c r="I41" s="304"/>
      <c r="J41" s="304"/>
      <c r="K41" s="307"/>
      <c r="L41" s="590" t="str">
        <f t="shared" si="0"/>
        <v/>
      </c>
      <c r="M41" s="416"/>
      <c r="N41" s="405"/>
      <c r="O41" s="468" t="str">
        <f t="shared" si="40"/>
        <v xml:space="preserve"> </v>
      </c>
      <c r="P41" s="468" t="str">
        <f t="shared" si="41"/>
        <v xml:space="preserve"> </v>
      </c>
      <c r="Q41" s="468" t="str">
        <f t="shared" si="42"/>
        <v xml:space="preserve"> </v>
      </c>
      <c r="R41" s="468" t="str">
        <f t="shared" si="43"/>
        <v xml:space="preserve"> </v>
      </c>
      <c r="S41" s="468" t="str">
        <f t="shared" si="44"/>
        <v xml:space="preserve"> </v>
      </c>
      <c r="T41" s="468" t="str">
        <f t="shared" si="45"/>
        <v xml:space="preserve"> </v>
      </c>
      <c r="U41" s="405"/>
      <c r="V41" s="405"/>
      <c r="W41" s="405"/>
      <c r="X41" s="405"/>
      <c r="Y41" s="405"/>
      <c r="Z41" s="405"/>
      <c r="AA41" s="405"/>
      <c r="AB41" s="405"/>
      <c r="AC41" s="389" t="e">
        <f t="shared" si="19"/>
        <v>#N/A</v>
      </c>
      <c r="AD41" s="390">
        <f t="shared" si="20"/>
        <v>0</v>
      </c>
      <c r="AE41" s="390">
        <f t="shared" si="21"/>
        <v>0</v>
      </c>
      <c r="AF41" s="391">
        <f t="shared" si="22"/>
        <v>0</v>
      </c>
      <c r="AG41" s="392">
        <f t="shared" si="23"/>
        <v>0</v>
      </c>
      <c r="AH41" s="392">
        <f t="shared" si="24"/>
        <v>0</v>
      </c>
      <c r="AI41" s="392">
        <f t="shared" si="25"/>
        <v>0</v>
      </c>
      <c r="AJ41" s="393">
        <f t="shared" si="26"/>
        <v>0</v>
      </c>
      <c r="AK41" s="391">
        <f t="shared" si="27"/>
        <v>0</v>
      </c>
      <c r="AL41" s="391">
        <f t="shared" si="28"/>
        <v>0</v>
      </c>
      <c r="AM41" s="391">
        <f t="shared" si="29"/>
        <v>0</v>
      </c>
      <c r="AN41" s="391">
        <f t="shared" si="30"/>
        <v>0</v>
      </c>
      <c r="AO41" s="403">
        <f t="shared" si="31"/>
        <v>0</v>
      </c>
      <c r="AP41" s="405"/>
      <c r="AQ41" s="390" t="e">
        <f t="shared" si="32"/>
        <v>#N/A</v>
      </c>
      <c r="AR41" s="408">
        <f t="shared" si="33"/>
        <v>0</v>
      </c>
      <c r="AS41" s="409" t="str">
        <f t="shared" si="15"/>
        <v/>
      </c>
      <c r="AT41" s="416"/>
    </row>
    <row r="42" spans="1:46" ht="15" x14ac:dyDescent="0.25">
      <c r="A42" s="592">
        <v>39</v>
      </c>
      <c r="B42" s="604"/>
      <c r="C42" s="302"/>
      <c r="D42" s="304"/>
      <c r="E42" s="306"/>
      <c r="F42" s="698"/>
      <c r="G42" s="304"/>
      <c r="H42" s="304"/>
      <c r="I42" s="304"/>
      <c r="J42" s="304"/>
      <c r="K42" s="307"/>
      <c r="L42" s="590" t="str">
        <f t="shared" si="0"/>
        <v/>
      </c>
      <c r="M42" s="416"/>
      <c r="N42" s="405"/>
      <c r="O42" s="468" t="str">
        <f t="shared" si="40"/>
        <v xml:space="preserve"> </v>
      </c>
      <c r="P42" s="468" t="str">
        <f t="shared" si="41"/>
        <v xml:space="preserve"> </v>
      </c>
      <c r="Q42" s="468" t="str">
        <f t="shared" si="42"/>
        <v xml:space="preserve"> </v>
      </c>
      <c r="R42" s="468" t="str">
        <f t="shared" si="43"/>
        <v xml:space="preserve"> </v>
      </c>
      <c r="S42" s="468" t="str">
        <f t="shared" si="44"/>
        <v xml:space="preserve"> </v>
      </c>
      <c r="T42" s="468" t="str">
        <f t="shared" si="45"/>
        <v xml:space="preserve"> </v>
      </c>
      <c r="U42" s="405"/>
      <c r="V42" s="405"/>
      <c r="W42" s="405"/>
      <c r="X42" s="405"/>
      <c r="Y42" s="405"/>
      <c r="Z42" s="405"/>
      <c r="AA42" s="405"/>
      <c r="AB42" s="405"/>
      <c r="AC42" s="389" t="e">
        <f t="shared" si="19"/>
        <v>#N/A</v>
      </c>
      <c r="AD42" s="390">
        <f t="shared" si="20"/>
        <v>0</v>
      </c>
      <c r="AE42" s="390">
        <f t="shared" si="21"/>
        <v>0</v>
      </c>
      <c r="AF42" s="391">
        <f t="shared" si="22"/>
        <v>0</v>
      </c>
      <c r="AG42" s="392">
        <f t="shared" si="23"/>
        <v>0</v>
      </c>
      <c r="AH42" s="392">
        <f t="shared" si="24"/>
        <v>0</v>
      </c>
      <c r="AI42" s="392">
        <f t="shared" si="25"/>
        <v>0</v>
      </c>
      <c r="AJ42" s="393">
        <f t="shared" si="26"/>
        <v>0</v>
      </c>
      <c r="AK42" s="391">
        <f t="shared" si="27"/>
        <v>0</v>
      </c>
      <c r="AL42" s="391">
        <f t="shared" si="28"/>
        <v>0</v>
      </c>
      <c r="AM42" s="391">
        <f t="shared" si="29"/>
        <v>0</v>
      </c>
      <c r="AN42" s="391">
        <f t="shared" si="30"/>
        <v>0</v>
      </c>
      <c r="AO42" s="403">
        <f t="shared" si="31"/>
        <v>0</v>
      </c>
      <c r="AP42" s="405"/>
      <c r="AQ42" s="390" t="e">
        <f t="shared" si="32"/>
        <v>#N/A</v>
      </c>
      <c r="AR42" s="408">
        <f t="shared" si="33"/>
        <v>0</v>
      </c>
      <c r="AS42" s="409" t="str">
        <f t="shared" si="15"/>
        <v/>
      </c>
      <c r="AT42" s="416"/>
    </row>
    <row r="43" spans="1:46" ht="15" x14ac:dyDescent="0.25">
      <c r="A43" s="592">
        <v>40</v>
      </c>
      <c r="B43" s="604"/>
      <c r="C43" s="302"/>
      <c r="D43" s="304"/>
      <c r="E43" s="306"/>
      <c r="F43" s="698"/>
      <c r="G43" s="304"/>
      <c r="H43" s="304"/>
      <c r="I43" s="304"/>
      <c r="J43" s="304"/>
      <c r="K43" s="307"/>
      <c r="L43" s="590" t="str">
        <f t="shared" si="0"/>
        <v/>
      </c>
      <c r="M43" s="416"/>
      <c r="N43" s="405"/>
      <c r="O43" s="468" t="str">
        <f t="shared" si="40"/>
        <v xml:space="preserve"> </v>
      </c>
      <c r="P43" s="468" t="str">
        <f t="shared" si="41"/>
        <v xml:space="preserve"> </v>
      </c>
      <c r="Q43" s="468" t="str">
        <f t="shared" si="42"/>
        <v xml:space="preserve"> </v>
      </c>
      <c r="R43" s="468" t="str">
        <f t="shared" si="43"/>
        <v xml:space="preserve"> </v>
      </c>
      <c r="S43" s="468" t="str">
        <f t="shared" si="44"/>
        <v xml:space="preserve"> </v>
      </c>
      <c r="T43" s="468" t="str">
        <f t="shared" si="45"/>
        <v xml:space="preserve"> </v>
      </c>
      <c r="U43" s="405"/>
      <c r="V43" s="405"/>
      <c r="W43" s="405"/>
      <c r="X43" s="405"/>
      <c r="Y43" s="405"/>
      <c r="Z43" s="405"/>
      <c r="AA43" s="405"/>
      <c r="AB43" s="405"/>
      <c r="AC43" s="389" t="e">
        <f t="shared" si="19"/>
        <v>#N/A</v>
      </c>
      <c r="AD43" s="390">
        <f t="shared" si="20"/>
        <v>0</v>
      </c>
      <c r="AE43" s="390">
        <f t="shared" si="21"/>
        <v>0</v>
      </c>
      <c r="AF43" s="391">
        <f t="shared" si="22"/>
        <v>0</v>
      </c>
      <c r="AG43" s="392">
        <f t="shared" si="23"/>
        <v>0</v>
      </c>
      <c r="AH43" s="392">
        <f t="shared" si="24"/>
        <v>0</v>
      </c>
      <c r="AI43" s="392">
        <f t="shared" si="25"/>
        <v>0</v>
      </c>
      <c r="AJ43" s="393">
        <f t="shared" si="26"/>
        <v>0</v>
      </c>
      <c r="AK43" s="391">
        <f t="shared" si="27"/>
        <v>0</v>
      </c>
      <c r="AL43" s="391">
        <f t="shared" si="28"/>
        <v>0</v>
      </c>
      <c r="AM43" s="391">
        <f t="shared" si="29"/>
        <v>0</v>
      </c>
      <c r="AN43" s="391">
        <f t="shared" si="30"/>
        <v>0</v>
      </c>
      <c r="AO43" s="403">
        <f t="shared" si="31"/>
        <v>0</v>
      </c>
      <c r="AP43" s="405"/>
      <c r="AQ43" s="390" t="e">
        <f t="shared" si="32"/>
        <v>#N/A</v>
      </c>
      <c r="AR43" s="408">
        <f t="shared" si="33"/>
        <v>0</v>
      </c>
      <c r="AS43" s="409" t="str">
        <f t="shared" si="15"/>
        <v/>
      </c>
      <c r="AT43" s="416"/>
    </row>
    <row r="44" spans="1:46" ht="15" x14ac:dyDescent="0.25">
      <c r="A44" s="592">
        <v>41</v>
      </c>
      <c r="B44" s="604"/>
      <c r="C44" s="302"/>
      <c r="D44" s="304"/>
      <c r="E44" s="306"/>
      <c r="F44" s="698"/>
      <c r="G44" s="304"/>
      <c r="H44" s="304"/>
      <c r="I44" s="304"/>
      <c r="J44" s="304"/>
      <c r="K44" s="307"/>
      <c r="L44" s="590" t="str">
        <f t="shared" si="0"/>
        <v/>
      </c>
      <c r="M44" s="416"/>
      <c r="N44" s="405"/>
      <c r="O44" s="468" t="str">
        <f t="shared" si="40"/>
        <v xml:space="preserve"> </v>
      </c>
      <c r="P44" s="468" t="str">
        <f t="shared" si="41"/>
        <v xml:space="preserve"> </v>
      </c>
      <c r="Q44" s="468" t="str">
        <f t="shared" si="42"/>
        <v xml:space="preserve"> </v>
      </c>
      <c r="R44" s="468" t="str">
        <f t="shared" si="43"/>
        <v xml:space="preserve"> </v>
      </c>
      <c r="S44" s="468" t="str">
        <f t="shared" si="44"/>
        <v xml:space="preserve"> </v>
      </c>
      <c r="T44" s="468" t="str">
        <f t="shared" si="45"/>
        <v xml:space="preserve"> </v>
      </c>
      <c r="U44" s="405"/>
      <c r="V44" s="405"/>
      <c r="W44" s="405"/>
      <c r="X44" s="405"/>
      <c r="Y44" s="405"/>
      <c r="Z44" s="405"/>
      <c r="AA44" s="405"/>
      <c r="AB44" s="405"/>
      <c r="AC44" s="389" t="e">
        <f t="shared" si="19"/>
        <v>#N/A</v>
      </c>
      <c r="AD44" s="390">
        <f t="shared" si="20"/>
        <v>0</v>
      </c>
      <c r="AE44" s="390">
        <f t="shared" si="21"/>
        <v>0</v>
      </c>
      <c r="AF44" s="391">
        <f t="shared" si="22"/>
        <v>0</v>
      </c>
      <c r="AG44" s="392">
        <f t="shared" si="23"/>
        <v>0</v>
      </c>
      <c r="AH44" s="392">
        <f t="shared" si="24"/>
        <v>0</v>
      </c>
      <c r="AI44" s="392">
        <f t="shared" si="25"/>
        <v>0</v>
      </c>
      <c r="AJ44" s="393">
        <f t="shared" si="26"/>
        <v>0</v>
      </c>
      <c r="AK44" s="391">
        <f t="shared" si="27"/>
        <v>0</v>
      </c>
      <c r="AL44" s="391">
        <f t="shared" si="28"/>
        <v>0</v>
      </c>
      <c r="AM44" s="391">
        <f t="shared" si="29"/>
        <v>0</v>
      </c>
      <c r="AN44" s="391">
        <f t="shared" si="30"/>
        <v>0</v>
      </c>
      <c r="AO44" s="403">
        <f t="shared" si="31"/>
        <v>0</v>
      </c>
      <c r="AP44" s="405"/>
      <c r="AQ44" s="390" t="e">
        <f t="shared" si="32"/>
        <v>#N/A</v>
      </c>
      <c r="AR44" s="408">
        <f t="shared" si="33"/>
        <v>0</v>
      </c>
      <c r="AS44" s="409" t="str">
        <f t="shared" si="15"/>
        <v/>
      </c>
      <c r="AT44" s="416"/>
    </row>
    <row r="45" spans="1:46" ht="15" x14ac:dyDescent="0.25">
      <c r="A45" s="592">
        <v>42</v>
      </c>
      <c r="B45" s="604"/>
      <c r="C45" s="302"/>
      <c r="D45" s="304"/>
      <c r="E45" s="306"/>
      <c r="F45" s="698"/>
      <c r="G45" s="304"/>
      <c r="H45" s="304"/>
      <c r="I45" s="304"/>
      <c r="J45" s="304"/>
      <c r="K45" s="307"/>
      <c r="L45" s="590" t="str">
        <f t="shared" si="0"/>
        <v/>
      </c>
      <c r="M45" s="416"/>
      <c r="N45" s="405"/>
      <c r="O45" s="468" t="str">
        <f t="shared" si="40"/>
        <v xml:space="preserve"> </v>
      </c>
      <c r="P45" s="468" t="str">
        <f t="shared" si="41"/>
        <v xml:space="preserve"> </v>
      </c>
      <c r="Q45" s="468" t="str">
        <f t="shared" si="42"/>
        <v xml:space="preserve"> </v>
      </c>
      <c r="R45" s="468" t="str">
        <f t="shared" si="43"/>
        <v xml:space="preserve"> </v>
      </c>
      <c r="S45" s="468" t="str">
        <f t="shared" si="44"/>
        <v xml:space="preserve"> </v>
      </c>
      <c r="T45" s="468" t="str">
        <f t="shared" si="45"/>
        <v xml:space="preserve"> </v>
      </c>
      <c r="U45" s="405"/>
      <c r="V45" s="405"/>
      <c r="W45" s="405"/>
      <c r="X45" s="405"/>
      <c r="Y45" s="405"/>
      <c r="Z45" s="405"/>
      <c r="AA45" s="405"/>
      <c r="AB45" s="405"/>
      <c r="AC45" s="389" t="e">
        <f t="shared" si="19"/>
        <v>#N/A</v>
      </c>
      <c r="AD45" s="390">
        <f t="shared" si="20"/>
        <v>0</v>
      </c>
      <c r="AE45" s="390">
        <f t="shared" si="21"/>
        <v>0</v>
      </c>
      <c r="AF45" s="391">
        <f t="shared" si="22"/>
        <v>0</v>
      </c>
      <c r="AG45" s="392">
        <f t="shared" si="23"/>
        <v>0</v>
      </c>
      <c r="AH45" s="392">
        <f t="shared" si="24"/>
        <v>0</v>
      </c>
      <c r="AI45" s="392">
        <f t="shared" si="25"/>
        <v>0</v>
      </c>
      <c r="AJ45" s="393">
        <f t="shared" si="26"/>
        <v>0</v>
      </c>
      <c r="AK45" s="391">
        <f t="shared" si="27"/>
        <v>0</v>
      </c>
      <c r="AL45" s="391">
        <f t="shared" si="28"/>
        <v>0</v>
      </c>
      <c r="AM45" s="391">
        <f t="shared" si="29"/>
        <v>0</v>
      </c>
      <c r="AN45" s="391">
        <f t="shared" si="30"/>
        <v>0</v>
      </c>
      <c r="AO45" s="403">
        <f t="shared" si="31"/>
        <v>0</v>
      </c>
      <c r="AP45" s="405"/>
      <c r="AQ45" s="390" t="e">
        <f t="shared" si="32"/>
        <v>#N/A</v>
      </c>
      <c r="AR45" s="408">
        <f t="shared" si="33"/>
        <v>0</v>
      </c>
      <c r="AS45" s="409" t="str">
        <f t="shared" si="15"/>
        <v/>
      </c>
      <c r="AT45" s="416"/>
    </row>
    <row r="46" spans="1:46" ht="15" x14ac:dyDescent="0.25">
      <c r="A46" s="592">
        <v>43</v>
      </c>
      <c r="B46" s="604"/>
      <c r="C46" s="302"/>
      <c r="D46" s="304"/>
      <c r="E46" s="306"/>
      <c r="F46" s="698"/>
      <c r="G46" s="304"/>
      <c r="H46" s="304"/>
      <c r="I46" s="304"/>
      <c r="J46" s="304"/>
      <c r="K46" s="307"/>
      <c r="L46" s="590" t="str">
        <f t="shared" si="0"/>
        <v/>
      </c>
      <c r="M46" s="416"/>
      <c r="N46" s="405"/>
      <c r="O46" s="468" t="str">
        <f t="shared" si="40"/>
        <v xml:space="preserve"> </v>
      </c>
      <c r="P46" s="468" t="str">
        <f t="shared" si="41"/>
        <v xml:space="preserve"> </v>
      </c>
      <c r="Q46" s="468" t="str">
        <f t="shared" si="42"/>
        <v xml:space="preserve"> </v>
      </c>
      <c r="R46" s="468" t="str">
        <f t="shared" si="43"/>
        <v xml:space="preserve"> </v>
      </c>
      <c r="S46" s="468" t="str">
        <f t="shared" si="44"/>
        <v xml:space="preserve"> </v>
      </c>
      <c r="T46" s="468" t="str">
        <f t="shared" si="45"/>
        <v xml:space="preserve"> </v>
      </c>
      <c r="U46" s="405"/>
      <c r="V46" s="405"/>
      <c r="W46" s="405"/>
      <c r="X46" s="405"/>
      <c r="Y46" s="405"/>
      <c r="Z46" s="405"/>
      <c r="AA46" s="405"/>
      <c r="AB46" s="405"/>
      <c r="AC46" s="389" t="e">
        <f t="shared" si="19"/>
        <v>#N/A</v>
      </c>
      <c r="AD46" s="390">
        <f t="shared" si="20"/>
        <v>0</v>
      </c>
      <c r="AE46" s="390">
        <f t="shared" si="21"/>
        <v>0</v>
      </c>
      <c r="AF46" s="391">
        <f t="shared" si="22"/>
        <v>0</v>
      </c>
      <c r="AG46" s="392">
        <f t="shared" si="23"/>
        <v>0</v>
      </c>
      <c r="AH46" s="392">
        <f t="shared" si="24"/>
        <v>0</v>
      </c>
      <c r="AI46" s="392">
        <f t="shared" si="25"/>
        <v>0</v>
      </c>
      <c r="AJ46" s="393">
        <f t="shared" si="26"/>
        <v>0</v>
      </c>
      <c r="AK46" s="391">
        <f t="shared" si="27"/>
        <v>0</v>
      </c>
      <c r="AL46" s="391">
        <f t="shared" si="28"/>
        <v>0</v>
      </c>
      <c r="AM46" s="391">
        <f t="shared" si="29"/>
        <v>0</v>
      </c>
      <c r="AN46" s="391">
        <f t="shared" si="30"/>
        <v>0</v>
      </c>
      <c r="AO46" s="403">
        <f t="shared" si="31"/>
        <v>0</v>
      </c>
      <c r="AP46" s="405"/>
      <c r="AQ46" s="390" t="e">
        <f t="shared" si="32"/>
        <v>#N/A</v>
      </c>
      <c r="AR46" s="408">
        <f t="shared" si="33"/>
        <v>0</v>
      </c>
      <c r="AS46" s="409" t="str">
        <f t="shared" si="15"/>
        <v/>
      </c>
      <c r="AT46" s="416"/>
    </row>
    <row r="47" spans="1:46" ht="15" x14ac:dyDescent="0.25">
      <c r="A47" s="592">
        <v>44</v>
      </c>
      <c r="B47" s="604"/>
      <c r="C47" s="302"/>
      <c r="D47" s="304"/>
      <c r="E47" s="306"/>
      <c r="F47" s="698"/>
      <c r="G47" s="304"/>
      <c r="H47" s="304"/>
      <c r="I47" s="304"/>
      <c r="J47" s="304"/>
      <c r="K47" s="307"/>
      <c r="L47" s="590" t="str">
        <f t="shared" si="0"/>
        <v/>
      </c>
      <c r="M47" s="416"/>
      <c r="N47" s="405"/>
      <c r="O47" s="468" t="str">
        <f t="shared" si="40"/>
        <v xml:space="preserve"> </v>
      </c>
      <c r="P47" s="468" t="str">
        <f t="shared" si="41"/>
        <v xml:space="preserve"> </v>
      </c>
      <c r="Q47" s="468" t="str">
        <f t="shared" si="42"/>
        <v xml:space="preserve"> </v>
      </c>
      <c r="R47" s="468" t="str">
        <f t="shared" si="43"/>
        <v xml:space="preserve"> </v>
      </c>
      <c r="S47" s="468" t="str">
        <f t="shared" si="44"/>
        <v xml:space="preserve"> </v>
      </c>
      <c r="T47" s="468" t="str">
        <f t="shared" si="45"/>
        <v xml:space="preserve"> </v>
      </c>
      <c r="U47" s="405"/>
      <c r="V47" s="405"/>
      <c r="W47" s="405"/>
      <c r="X47" s="405"/>
      <c r="Y47" s="405"/>
      <c r="Z47" s="405"/>
      <c r="AA47" s="405"/>
      <c r="AB47" s="405"/>
      <c r="AC47" s="389" t="e">
        <f t="shared" si="19"/>
        <v>#N/A</v>
      </c>
      <c r="AD47" s="390">
        <f t="shared" si="20"/>
        <v>0</v>
      </c>
      <c r="AE47" s="390">
        <f t="shared" si="21"/>
        <v>0</v>
      </c>
      <c r="AF47" s="391">
        <f t="shared" si="22"/>
        <v>0</v>
      </c>
      <c r="AG47" s="392">
        <f t="shared" si="23"/>
        <v>0</v>
      </c>
      <c r="AH47" s="392">
        <f t="shared" si="24"/>
        <v>0</v>
      </c>
      <c r="AI47" s="392">
        <f t="shared" si="25"/>
        <v>0</v>
      </c>
      <c r="AJ47" s="393">
        <f t="shared" si="26"/>
        <v>0</v>
      </c>
      <c r="AK47" s="391">
        <f t="shared" si="27"/>
        <v>0</v>
      </c>
      <c r="AL47" s="391">
        <f t="shared" si="28"/>
        <v>0</v>
      </c>
      <c r="AM47" s="391">
        <f t="shared" si="29"/>
        <v>0</v>
      </c>
      <c r="AN47" s="391">
        <f t="shared" si="30"/>
        <v>0</v>
      </c>
      <c r="AO47" s="403">
        <f t="shared" si="31"/>
        <v>0</v>
      </c>
      <c r="AP47" s="405"/>
      <c r="AQ47" s="390" t="e">
        <f t="shared" si="32"/>
        <v>#N/A</v>
      </c>
      <c r="AR47" s="408">
        <f t="shared" si="33"/>
        <v>0</v>
      </c>
      <c r="AS47" s="409" t="str">
        <f t="shared" si="15"/>
        <v/>
      </c>
      <c r="AT47" s="416"/>
    </row>
    <row r="48" spans="1:46" ht="15" x14ac:dyDescent="0.25">
      <c r="A48" s="592">
        <v>45</v>
      </c>
      <c r="B48" s="604"/>
      <c r="C48" s="302"/>
      <c r="D48" s="304"/>
      <c r="E48" s="306"/>
      <c r="F48" s="698"/>
      <c r="G48" s="304"/>
      <c r="H48" s="304"/>
      <c r="I48" s="304"/>
      <c r="J48" s="304"/>
      <c r="K48" s="307"/>
      <c r="L48" s="590" t="str">
        <f t="shared" si="0"/>
        <v/>
      </c>
      <c r="M48" s="416"/>
      <c r="N48" s="405"/>
      <c r="O48" s="468" t="str">
        <f t="shared" si="40"/>
        <v xml:space="preserve"> </v>
      </c>
      <c r="P48" s="468" t="str">
        <f t="shared" si="41"/>
        <v xml:space="preserve"> </v>
      </c>
      <c r="Q48" s="468" t="str">
        <f t="shared" si="42"/>
        <v xml:space="preserve"> </v>
      </c>
      <c r="R48" s="468" t="str">
        <f t="shared" si="43"/>
        <v xml:space="preserve"> </v>
      </c>
      <c r="S48" s="468" t="str">
        <f t="shared" si="44"/>
        <v xml:space="preserve"> </v>
      </c>
      <c r="T48" s="468" t="str">
        <f t="shared" si="45"/>
        <v xml:space="preserve"> </v>
      </c>
      <c r="U48" s="405"/>
      <c r="V48" s="405"/>
      <c r="W48" s="405"/>
      <c r="X48" s="405"/>
      <c r="Y48" s="405"/>
      <c r="Z48" s="405"/>
      <c r="AA48" s="405"/>
      <c r="AB48" s="405"/>
      <c r="AC48" s="389" t="e">
        <f t="shared" si="19"/>
        <v>#N/A</v>
      </c>
      <c r="AD48" s="390">
        <f t="shared" si="20"/>
        <v>0</v>
      </c>
      <c r="AE48" s="390">
        <f t="shared" si="21"/>
        <v>0</v>
      </c>
      <c r="AF48" s="391">
        <f t="shared" si="22"/>
        <v>0</v>
      </c>
      <c r="AG48" s="392">
        <f t="shared" si="23"/>
        <v>0</v>
      </c>
      <c r="AH48" s="392">
        <f t="shared" si="24"/>
        <v>0</v>
      </c>
      <c r="AI48" s="392">
        <f t="shared" si="25"/>
        <v>0</v>
      </c>
      <c r="AJ48" s="393">
        <f t="shared" si="26"/>
        <v>0</v>
      </c>
      <c r="AK48" s="391">
        <f t="shared" si="27"/>
        <v>0</v>
      </c>
      <c r="AL48" s="391">
        <f t="shared" si="28"/>
        <v>0</v>
      </c>
      <c r="AM48" s="391">
        <f t="shared" si="29"/>
        <v>0</v>
      </c>
      <c r="AN48" s="391">
        <f t="shared" si="30"/>
        <v>0</v>
      </c>
      <c r="AO48" s="403">
        <f t="shared" si="31"/>
        <v>0</v>
      </c>
      <c r="AP48" s="405"/>
      <c r="AQ48" s="390" t="e">
        <f t="shared" si="32"/>
        <v>#N/A</v>
      </c>
      <c r="AR48" s="408">
        <f t="shared" si="33"/>
        <v>0</v>
      </c>
      <c r="AS48" s="409" t="str">
        <f t="shared" si="15"/>
        <v/>
      </c>
      <c r="AT48" s="416"/>
    </row>
    <row r="49" spans="1:46" ht="15" x14ac:dyDescent="0.25">
      <c r="A49" s="592">
        <v>46</v>
      </c>
      <c r="B49" s="604"/>
      <c r="C49" s="302"/>
      <c r="D49" s="304"/>
      <c r="E49" s="306"/>
      <c r="F49" s="698"/>
      <c r="G49" s="304"/>
      <c r="H49" s="304"/>
      <c r="I49" s="304"/>
      <c r="J49" s="304"/>
      <c r="K49" s="307"/>
      <c r="L49" s="590" t="str">
        <f t="shared" si="0"/>
        <v/>
      </c>
      <c r="M49" s="416"/>
      <c r="N49" s="405"/>
      <c r="O49" s="468" t="str">
        <f t="shared" si="40"/>
        <v xml:space="preserve"> </v>
      </c>
      <c r="P49" s="468" t="str">
        <f t="shared" si="41"/>
        <v xml:space="preserve"> </v>
      </c>
      <c r="Q49" s="468" t="str">
        <f t="shared" si="42"/>
        <v xml:space="preserve"> </v>
      </c>
      <c r="R49" s="468" t="str">
        <f t="shared" si="43"/>
        <v xml:space="preserve"> </v>
      </c>
      <c r="S49" s="468" t="str">
        <f t="shared" si="44"/>
        <v xml:space="preserve"> </v>
      </c>
      <c r="T49" s="468" t="str">
        <f t="shared" si="45"/>
        <v xml:space="preserve"> </v>
      </c>
      <c r="U49" s="405"/>
      <c r="V49" s="405"/>
      <c r="W49" s="405"/>
      <c r="X49" s="405"/>
      <c r="Y49" s="405"/>
      <c r="Z49" s="405"/>
      <c r="AA49" s="405"/>
      <c r="AB49" s="405"/>
      <c r="AC49" s="389" t="e">
        <f t="shared" si="19"/>
        <v>#N/A</v>
      </c>
      <c r="AD49" s="390">
        <f t="shared" si="20"/>
        <v>0</v>
      </c>
      <c r="AE49" s="390">
        <f t="shared" si="21"/>
        <v>0</v>
      </c>
      <c r="AF49" s="391">
        <f t="shared" si="22"/>
        <v>0</v>
      </c>
      <c r="AG49" s="392">
        <f t="shared" si="23"/>
        <v>0</v>
      </c>
      <c r="AH49" s="392">
        <f t="shared" si="24"/>
        <v>0</v>
      </c>
      <c r="AI49" s="392">
        <f t="shared" si="25"/>
        <v>0</v>
      </c>
      <c r="AJ49" s="393">
        <f t="shared" si="26"/>
        <v>0</v>
      </c>
      <c r="AK49" s="391">
        <f t="shared" si="27"/>
        <v>0</v>
      </c>
      <c r="AL49" s="391">
        <f t="shared" si="28"/>
        <v>0</v>
      </c>
      <c r="AM49" s="391">
        <f t="shared" si="29"/>
        <v>0</v>
      </c>
      <c r="AN49" s="391">
        <f t="shared" si="30"/>
        <v>0</v>
      </c>
      <c r="AO49" s="403">
        <f t="shared" si="31"/>
        <v>0</v>
      </c>
      <c r="AP49" s="405"/>
      <c r="AQ49" s="390" t="e">
        <f t="shared" si="32"/>
        <v>#N/A</v>
      </c>
      <c r="AR49" s="408">
        <f t="shared" si="33"/>
        <v>0</v>
      </c>
      <c r="AS49" s="409" t="str">
        <f t="shared" si="15"/>
        <v/>
      </c>
      <c r="AT49" s="416"/>
    </row>
    <row r="50" spans="1:46" ht="15" x14ac:dyDescent="0.25">
      <c r="A50" s="592">
        <v>47</v>
      </c>
      <c r="B50" s="604"/>
      <c r="C50" s="302"/>
      <c r="D50" s="304"/>
      <c r="E50" s="306"/>
      <c r="F50" s="698"/>
      <c r="G50" s="304"/>
      <c r="H50" s="304"/>
      <c r="I50" s="304"/>
      <c r="J50" s="304"/>
      <c r="K50" s="307"/>
      <c r="L50" s="590" t="str">
        <f t="shared" si="0"/>
        <v/>
      </c>
      <c r="M50" s="416"/>
      <c r="N50" s="405"/>
      <c r="O50" s="468" t="str">
        <f t="shared" si="40"/>
        <v xml:space="preserve"> </v>
      </c>
      <c r="P50" s="468" t="str">
        <f t="shared" si="41"/>
        <v xml:space="preserve"> </v>
      </c>
      <c r="Q50" s="468" t="str">
        <f t="shared" si="42"/>
        <v xml:space="preserve"> </v>
      </c>
      <c r="R50" s="468" t="str">
        <f t="shared" si="43"/>
        <v xml:space="preserve"> </v>
      </c>
      <c r="S50" s="468" t="str">
        <f t="shared" si="44"/>
        <v xml:space="preserve"> </v>
      </c>
      <c r="T50" s="468" t="str">
        <f t="shared" si="45"/>
        <v xml:space="preserve"> </v>
      </c>
      <c r="U50" s="405"/>
      <c r="V50" s="405"/>
      <c r="W50" s="405"/>
      <c r="X50" s="405"/>
      <c r="Y50" s="405"/>
      <c r="Z50" s="405"/>
      <c r="AA50" s="405"/>
      <c r="AB50" s="405"/>
      <c r="AC50" s="389" t="e">
        <f t="shared" si="19"/>
        <v>#N/A</v>
      </c>
      <c r="AD50" s="390">
        <f t="shared" si="20"/>
        <v>0</v>
      </c>
      <c r="AE50" s="390">
        <f t="shared" si="21"/>
        <v>0</v>
      </c>
      <c r="AF50" s="391">
        <f t="shared" si="22"/>
        <v>0</v>
      </c>
      <c r="AG50" s="392">
        <f t="shared" si="23"/>
        <v>0</v>
      </c>
      <c r="AH50" s="392">
        <f t="shared" si="24"/>
        <v>0</v>
      </c>
      <c r="AI50" s="392">
        <f t="shared" si="25"/>
        <v>0</v>
      </c>
      <c r="AJ50" s="393">
        <f t="shared" si="26"/>
        <v>0</v>
      </c>
      <c r="AK50" s="391">
        <f t="shared" si="27"/>
        <v>0</v>
      </c>
      <c r="AL50" s="391">
        <f t="shared" si="28"/>
        <v>0</v>
      </c>
      <c r="AM50" s="391">
        <f t="shared" si="29"/>
        <v>0</v>
      </c>
      <c r="AN50" s="391">
        <f t="shared" si="30"/>
        <v>0</v>
      </c>
      <c r="AO50" s="403">
        <f t="shared" si="31"/>
        <v>0</v>
      </c>
      <c r="AP50" s="405"/>
      <c r="AQ50" s="390" t="e">
        <f t="shared" si="32"/>
        <v>#N/A</v>
      </c>
      <c r="AR50" s="408">
        <f t="shared" si="33"/>
        <v>0</v>
      </c>
      <c r="AS50" s="409" t="str">
        <f t="shared" si="15"/>
        <v/>
      </c>
      <c r="AT50" s="416"/>
    </row>
    <row r="51" spans="1:46" ht="15" x14ac:dyDescent="0.25">
      <c r="A51" s="592">
        <v>48</v>
      </c>
      <c r="B51" s="604"/>
      <c r="C51" s="302"/>
      <c r="D51" s="304"/>
      <c r="E51" s="306"/>
      <c r="F51" s="698"/>
      <c r="G51" s="304"/>
      <c r="H51" s="304"/>
      <c r="I51" s="304"/>
      <c r="J51" s="304"/>
      <c r="K51" s="307"/>
      <c r="L51" s="590" t="str">
        <f t="shared" si="0"/>
        <v/>
      </c>
      <c r="M51" s="416"/>
      <c r="N51" s="405"/>
      <c r="O51" s="468" t="str">
        <f t="shared" si="40"/>
        <v xml:space="preserve"> </v>
      </c>
      <c r="P51" s="468" t="str">
        <f t="shared" si="41"/>
        <v xml:space="preserve"> </v>
      </c>
      <c r="Q51" s="468" t="str">
        <f t="shared" si="42"/>
        <v xml:space="preserve"> </v>
      </c>
      <c r="R51" s="468" t="str">
        <f t="shared" si="43"/>
        <v xml:space="preserve"> </v>
      </c>
      <c r="S51" s="468" t="str">
        <f t="shared" si="44"/>
        <v xml:space="preserve"> </v>
      </c>
      <c r="T51" s="468" t="str">
        <f t="shared" si="45"/>
        <v xml:space="preserve"> </v>
      </c>
      <c r="U51" s="405"/>
      <c r="V51" s="405"/>
      <c r="W51" s="405"/>
      <c r="X51" s="405"/>
      <c r="Y51" s="405"/>
      <c r="Z51" s="405"/>
      <c r="AA51" s="405"/>
      <c r="AB51" s="405"/>
      <c r="AC51" s="389" t="e">
        <f t="shared" si="19"/>
        <v>#N/A</v>
      </c>
      <c r="AD51" s="390">
        <f t="shared" si="20"/>
        <v>0</v>
      </c>
      <c r="AE51" s="390">
        <f t="shared" si="21"/>
        <v>0</v>
      </c>
      <c r="AF51" s="391">
        <f t="shared" si="22"/>
        <v>0</v>
      </c>
      <c r="AG51" s="392">
        <f t="shared" si="23"/>
        <v>0</v>
      </c>
      <c r="AH51" s="392">
        <f t="shared" si="24"/>
        <v>0</v>
      </c>
      <c r="AI51" s="392">
        <f t="shared" si="25"/>
        <v>0</v>
      </c>
      <c r="AJ51" s="393">
        <f t="shared" si="26"/>
        <v>0</v>
      </c>
      <c r="AK51" s="391">
        <f t="shared" si="27"/>
        <v>0</v>
      </c>
      <c r="AL51" s="391">
        <f t="shared" si="28"/>
        <v>0</v>
      </c>
      <c r="AM51" s="391">
        <f t="shared" si="29"/>
        <v>0</v>
      </c>
      <c r="AN51" s="391">
        <f t="shared" si="30"/>
        <v>0</v>
      </c>
      <c r="AO51" s="403">
        <f t="shared" si="31"/>
        <v>0</v>
      </c>
      <c r="AP51" s="405"/>
      <c r="AQ51" s="390" t="e">
        <f t="shared" si="32"/>
        <v>#N/A</v>
      </c>
      <c r="AR51" s="408">
        <f t="shared" si="33"/>
        <v>0</v>
      </c>
      <c r="AS51" s="409" t="str">
        <f t="shared" si="15"/>
        <v/>
      </c>
      <c r="AT51" s="416"/>
    </row>
    <row r="52" spans="1:46" ht="15" x14ac:dyDescent="0.25">
      <c r="A52" s="592">
        <v>49</v>
      </c>
      <c r="B52" s="604"/>
      <c r="C52" s="302"/>
      <c r="D52" s="304"/>
      <c r="E52" s="306"/>
      <c r="F52" s="698"/>
      <c r="G52" s="304"/>
      <c r="H52" s="304"/>
      <c r="I52" s="304"/>
      <c r="J52" s="304"/>
      <c r="K52" s="307"/>
      <c r="L52" s="590" t="str">
        <f t="shared" si="0"/>
        <v/>
      </c>
      <c r="M52" s="416"/>
      <c r="N52" s="405"/>
      <c r="O52" s="468" t="str">
        <f t="shared" si="40"/>
        <v xml:space="preserve"> </v>
      </c>
      <c r="P52" s="468" t="str">
        <f t="shared" si="41"/>
        <v xml:space="preserve"> </v>
      </c>
      <c r="Q52" s="468" t="str">
        <f t="shared" si="42"/>
        <v xml:space="preserve"> </v>
      </c>
      <c r="R52" s="468" t="str">
        <f t="shared" si="43"/>
        <v xml:space="preserve"> </v>
      </c>
      <c r="S52" s="468" t="str">
        <f t="shared" si="44"/>
        <v xml:space="preserve"> </v>
      </c>
      <c r="T52" s="468" t="str">
        <f t="shared" si="45"/>
        <v xml:space="preserve"> </v>
      </c>
      <c r="U52" s="405"/>
      <c r="V52" s="405"/>
      <c r="W52" s="405"/>
      <c r="X52" s="405"/>
      <c r="Y52" s="405"/>
      <c r="Z52" s="405"/>
      <c r="AA52" s="405"/>
      <c r="AB52" s="405"/>
      <c r="AC52" s="389" t="e">
        <f t="shared" si="19"/>
        <v>#N/A</v>
      </c>
      <c r="AD52" s="390">
        <f t="shared" si="20"/>
        <v>0</v>
      </c>
      <c r="AE52" s="390">
        <f t="shared" si="21"/>
        <v>0</v>
      </c>
      <c r="AF52" s="391">
        <f t="shared" si="22"/>
        <v>0</v>
      </c>
      <c r="AG52" s="392">
        <f t="shared" si="23"/>
        <v>0</v>
      </c>
      <c r="AH52" s="392">
        <f t="shared" si="24"/>
        <v>0</v>
      </c>
      <c r="AI52" s="392">
        <f t="shared" si="25"/>
        <v>0</v>
      </c>
      <c r="AJ52" s="393">
        <f t="shared" si="26"/>
        <v>0</v>
      </c>
      <c r="AK52" s="391">
        <f t="shared" si="27"/>
        <v>0</v>
      </c>
      <c r="AL52" s="391">
        <f t="shared" si="28"/>
        <v>0</v>
      </c>
      <c r="AM52" s="391">
        <f t="shared" si="29"/>
        <v>0</v>
      </c>
      <c r="AN52" s="391">
        <f t="shared" si="30"/>
        <v>0</v>
      </c>
      <c r="AO52" s="403">
        <f t="shared" si="31"/>
        <v>0</v>
      </c>
      <c r="AP52" s="405"/>
      <c r="AQ52" s="390" t="e">
        <f t="shared" si="32"/>
        <v>#N/A</v>
      </c>
      <c r="AR52" s="408">
        <f t="shared" si="33"/>
        <v>0</v>
      </c>
      <c r="AS52" s="409" t="str">
        <f t="shared" si="15"/>
        <v/>
      </c>
      <c r="AT52" s="416"/>
    </row>
    <row r="53" spans="1:46" ht="15" x14ac:dyDescent="0.25">
      <c r="A53" s="592">
        <v>50</v>
      </c>
      <c r="B53" s="604"/>
      <c r="C53" s="302"/>
      <c r="D53" s="304"/>
      <c r="E53" s="306"/>
      <c r="F53" s="698"/>
      <c r="G53" s="304"/>
      <c r="H53" s="304"/>
      <c r="I53" s="304"/>
      <c r="J53" s="304"/>
      <c r="K53" s="307"/>
      <c r="L53" s="590" t="str">
        <f t="shared" si="0"/>
        <v/>
      </c>
      <c r="M53" s="416"/>
      <c r="N53" s="405"/>
      <c r="O53" s="468" t="str">
        <f t="shared" si="40"/>
        <v xml:space="preserve"> </v>
      </c>
      <c r="P53" s="468" t="str">
        <f t="shared" si="41"/>
        <v xml:space="preserve"> </v>
      </c>
      <c r="Q53" s="468" t="str">
        <f t="shared" si="42"/>
        <v xml:space="preserve"> </v>
      </c>
      <c r="R53" s="468" t="str">
        <f t="shared" si="43"/>
        <v xml:space="preserve"> </v>
      </c>
      <c r="S53" s="468" t="str">
        <f t="shared" si="44"/>
        <v xml:space="preserve"> </v>
      </c>
      <c r="T53" s="468" t="str">
        <f t="shared" si="45"/>
        <v xml:space="preserve"> </v>
      </c>
      <c r="U53" s="405"/>
      <c r="V53" s="405"/>
      <c r="W53" s="405"/>
      <c r="X53" s="405"/>
      <c r="Y53" s="405"/>
      <c r="Z53" s="405"/>
      <c r="AA53" s="405"/>
      <c r="AB53" s="405"/>
      <c r="AC53" s="389" t="e">
        <f t="shared" si="19"/>
        <v>#N/A</v>
      </c>
      <c r="AD53" s="390">
        <f t="shared" si="20"/>
        <v>0</v>
      </c>
      <c r="AE53" s="390">
        <f t="shared" si="21"/>
        <v>0</v>
      </c>
      <c r="AF53" s="391">
        <f t="shared" si="22"/>
        <v>0</v>
      </c>
      <c r="AG53" s="392">
        <f t="shared" si="23"/>
        <v>0</v>
      </c>
      <c r="AH53" s="392">
        <f t="shared" si="24"/>
        <v>0</v>
      </c>
      <c r="AI53" s="392">
        <f t="shared" si="25"/>
        <v>0</v>
      </c>
      <c r="AJ53" s="393">
        <f t="shared" si="26"/>
        <v>0</v>
      </c>
      <c r="AK53" s="391">
        <f t="shared" si="27"/>
        <v>0</v>
      </c>
      <c r="AL53" s="391">
        <f t="shared" si="28"/>
        <v>0</v>
      </c>
      <c r="AM53" s="391">
        <f t="shared" si="29"/>
        <v>0</v>
      </c>
      <c r="AN53" s="391">
        <f t="shared" si="30"/>
        <v>0</v>
      </c>
      <c r="AO53" s="403">
        <f t="shared" si="31"/>
        <v>0</v>
      </c>
      <c r="AP53" s="405"/>
      <c r="AQ53" s="390" t="e">
        <f t="shared" si="32"/>
        <v>#N/A</v>
      </c>
      <c r="AR53" s="408">
        <f t="shared" si="33"/>
        <v>0</v>
      </c>
      <c r="AS53" s="409" t="str">
        <f t="shared" si="15"/>
        <v/>
      </c>
      <c r="AT53" s="416"/>
    </row>
    <row r="54" spans="1:46" ht="15" x14ac:dyDescent="0.25">
      <c r="A54" s="592">
        <v>51</v>
      </c>
      <c r="B54" s="604"/>
      <c r="C54" s="302"/>
      <c r="D54" s="304"/>
      <c r="E54" s="306"/>
      <c r="F54" s="698"/>
      <c r="G54" s="304"/>
      <c r="H54" s="304"/>
      <c r="I54" s="304"/>
      <c r="J54" s="304"/>
      <c r="K54" s="307"/>
      <c r="L54" s="590" t="str">
        <f t="shared" si="0"/>
        <v/>
      </c>
      <c r="M54" s="416"/>
      <c r="N54" s="405"/>
      <c r="O54" s="468" t="str">
        <f t="shared" si="40"/>
        <v xml:space="preserve"> </v>
      </c>
      <c r="P54" s="468" t="str">
        <f t="shared" si="41"/>
        <v xml:space="preserve"> </v>
      </c>
      <c r="Q54" s="468" t="str">
        <f t="shared" si="42"/>
        <v xml:space="preserve"> </v>
      </c>
      <c r="R54" s="468" t="str">
        <f t="shared" si="43"/>
        <v xml:space="preserve"> </v>
      </c>
      <c r="S54" s="468" t="str">
        <f t="shared" si="44"/>
        <v xml:space="preserve"> </v>
      </c>
      <c r="T54" s="468" t="str">
        <f t="shared" si="45"/>
        <v xml:space="preserve"> </v>
      </c>
      <c r="U54" s="405"/>
      <c r="V54" s="405"/>
      <c r="W54" s="405"/>
      <c r="X54" s="405"/>
      <c r="Y54" s="405"/>
      <c r="Z54" s="405"/>
      <c r="AA54" s="405"/>
      <c r="AB54" s="405"/>
      <c r="AC54" s="389" t="e">
        <f t="shared" si="19"/>
        <v>#N/A</v>
      </c>
      <c r="AD54" s="390">
        <f t="shared" si="20"/>
        <v>0</v>
      </c>
      <c r="AE54" s="390">
        <f t="shared" si="21"/>
        <v>0</v>
      </c>
      <c r="AF54" s="391">
        <f t="shared" si="22"/>
        <v>0</v>
      </c>
      <c r="AG54" s="392">
        <f t="shared" si="23"/>
        <v>0</v>
      </c>
      <c r="AH54" s="392">
        <f t="shared" si="24"/>
        <v>0</v>
      </c>
      <c r="AI54" s="392">
        <f t="shared" si="25"/>
        <v>0</v>
      </c>
      <c r="AJ54" s="393">
        <f t="shared" si="26"/>
        <v>0</v>
      </c>
      <c r="AK54" s="391">
        <f t="shared" si="27"/>
        <v>0</v>
      </c>
      <c r="AL54" s="391">
        <f t="shared" si="28"/>
        <v>0</v>
      </c>
      <c r="AM54" s="391">
        <f t="shared" si="29"/>
        <v>0</v>
      </c>
      <c r="AN54" s="391">
        <f t="shared" si="30"/>
        <v>0</v>
      </c>
      <c r="AO54" s="403">
        <f t="shared" si="31"/>
        <v>0</v>
      </c>
      <c r="AP54" s="405"/>
      <c r="AQ54" s="390" t="e">
        <f t="shared" si="32"/>
        <v>#N/A</v>
      </c>
      <c r="AR54" s="408">
        <f t="shared" si="33"/>
        <v>0</v>
      </c>
      <c r="AS54" s="409" t="str">
        <f t="shared" si="15"/>
        <v/>
      </c>
      <c r="AT54" s="416"/>
    </row>
    <row r="55" spans="1:46" ht="15" x14ac:dyDescent="0.25">
      <c r="A55" s="592">
        <v>52</v>
      </c>
      <c r="B55" s="604"/>
      <c r="C55" s="302"/>
      <c r="D55" s="304"/>
      <c r="E55" s="306"/>
      <c r="F55" s="698"/>
      <c r="G55" s="304"/>
      <c r="H55" s="304"/>
      <c r="I55" s="304"/>
      <c r="J55" s="304"/>
      <c r="K55" s="307"/>
      <c r="L55" s="590" t="str">
        <f t="shared" si="0"/>
        <v/>
      </c>
      <c r="M55" s="416"/>
      <c r="N55" s="405"/>
      <c r="O55" s="468" t="str">
        <f t="shared" si="40"/>
        <v xml:space="preserve"> </v>
      </c>
      <c r="P55" s="468" t="str">
        <f t="shared" si="41"/>
        <v xml:space="preserve"> </v>
      </c>
      <c r="Q55" s="468" t="str">
        <f t="shared" si="42"/>
        <v xml:space="preserve"> </v>
      </c>
      <c r="R55" s="468" t="str">
        <f t="shared" si="43"/>
        <v xml:space="preserve"> </v>
      </c>
      <c r="S55" s="468" t="str">
        <f t="shared" si="44"/>
        <v xml:space="preserve"> </v>
      </c>
      <c r="T55" s="468" t="str">
        <f t="shared" si="45"/>
        <v xml:space="preserve"> </v>
      </c>
      <c r="U55" s="405"/>
      <c r="V55" s="405"/>
      <c r="W55" s="405"/>
      <c r="X55" s="405"/>
      <c r="Y55" s="405"/>
      <c r="Z55" s="405"/>
      <c r="AA55" s="405"/>
      <c r="AB55" s="405"/>
      <c r="AC55" s="389" t="e">
        <f t="shared" si="19"/>
        <v>#N/A</v>
      </c>
      <c r="AD55" s="390">
        <f t="shared" si="20"/>
        <v>0</v>
      </c>
      <c r="AE55" s="390">
        <f t="shared" si="21"/>
        <v>0</v>
      </c>
      <c r="AF55" s="391">
        <f t="shared" si="22"/>
        <v>0</v>
      </c>
      <c r="AG55" s="392">
        <f t="shared" si="23"/>
        <v>0</v>
      </c>
      <c r="AH55" s="392">
        <f t="shared" si="24"/>
        <v>0</v>
      </c>
      <c r="AI55" s="392">
        <f t="shared" si="25"/>
        <v>0</v>
      </c>
      <c r="AJ55" s="393">
        <f t="shared" si="26"/>
        <v>0</v>
      </c>
      <c r="AK55" s="391">
        <f t="shared" si="27"/>
        <v>0</v>
      </c>
      <c r="AL55" s="391">
        <f t="shared" si="28"/>
        <v>0</v>
      </c>
      <c r="AM55" s="391">
        <f t="shared" si="29"/>
        <v>0</v>
      </c>
      <c r="AN55" s="391">
        <f t="shared" si="30"/>
        <v>0</v>
      </c>
      <c r="AO55" s="403">
        <f t="shared" si="31"/>
        <v>0</v>
      </c>
      <c r="AP55" s="405"/>
      <c r="AQ55" s="390" t="e">
        <f t="shared" si="32"/>
        <v>#N/A</v>
      </c>
      <c r="AR55" s="408">
        <f t="shared" si="33"/>
        <v>0</v>
      </c>
      <c r="AS55" s="409" t="str">
        <f t="shared" si="15"/>
        <v/>
      </c>
      <c r="AT55" s="416"/>
    </row>
    <row r="56" spans="1:46" ht="15" x14ac:dyDescent="0.25">
      <c r="A56" s="592">
        <v>53</v>
      </c>
      <c r="B56" s="604"/>
      <c r="C56" s="302"/>
      <c r="D56" s="304"/>
      <c r="E56" s="306"/>
      <c r="F56" s="698"/>
      <c r="G56" s="304"/>
      <c r="H56" s="304"/>
      <c r="I56" s="304"/>
      <c r="J56" s="304"/>
      <c r="K56" s="307"/>
      <c r="L56" s="590" t="str">
        <f t="shared" si="0"/>
        <v/>
      </c>
      <c r="M56" s="416"/>
      <c r="N56" s="405"/>
      <c r="O56" s="468" t="str">
        <f t="shared" si="40"/>
        <v xml:space="preserve"> </v>
      </c>
      <c r="P56" s="468" t="str">
        <f t="shared" si="41"/>
        <v xml:space="preserve"> </v>
      </c>
      <c r="Q56" s="468" t="str">
        <f t="shared" si="42"/>
        <v xml:space="preserve"> </v>
      </c>
      <c r="R56" s="468" t="str">
        <f t="shared" si="43"/>
        <v xml:space="preserve"> </v>
      </c>
      <c r="S56" s="468" t="str">
        <f t="shared" si="44"/>
        <v xml:space="preserve"> </v>
      </c>
      <c r="T56" s="468" t="str">
        <f t="shared" si="45"/>
        <v xml:space="preserve"> </v>
      </c>
      <c r="U56" s="405"/>
      <c r="V56" s="405"/>
      <c r="W56" s="405"/>
      <c r="X56" s="405"/>
      <c r="Y56" s="405"/>
      <c r="Z56" s="405"/>
      <c r="AA56" s="405"/>
      <c r="AB56" s="405"/>
      <c r="AC56" s="389" t="e">
        <f t="shared" si="19"/>
        <v>#N/A</v>
      </c>
      <c r="AD56" s="390">
        <f t="shared" si="20"/>
        <v>0</v>
      </c>
      <c r="AE56" s="390">
        <f t="shared" si="21"/>
        <v>0</v>
      </c>
      <c r="AF56" s="391">
        <f t="shared" si="22"/>
        <v>0</v>
      </c>
      <c r="AG56" s="392">
        <f t="shared" si="23"/>
        <v>0</v>
      </c>
      <c r="AH56" s="392">
        <f t="shared" si="24"/>
        <v>0</v>
      </c>
      <c r="AI56" s="392">
        <f t="shared" si="25"/>
        <v>0</v>
      </c>
      <c r="AJ56" s="393">
        <f t="shared" si="26"/>
        <v>0</v>
      </c>
      <c r="AK56" s="391">
        <f t="shared" si="27"/>
        <v>0</v>
      </c>
      <c r="AL56" s="391">
        <f t="shared" si="28"/>
        <v>0</v>
      </c>
      <c r="AM56" s="391">
        <f t="shared" si="29"/>
        <v>0</v>
      </c>
      <c r="AN56" s="391">
        <f t="shared" si="30"/>
        <v>0</v>
      </c>
      <c r="AO56" s="403">
        <f t="shared" si="31"/>
        <v>0</v>
      </c>
      <c r="AP56" s="405"/>
      <c r="AQ56" s="390" t="e">
        <f t="shared" si="32"/>
        <v>#N/A</v>
      </c>
      <c r="AR56" s="408">
        <f t="shared" si="33"/>
        <v>0</v>
      </c>
      <c r="AS56" s="409" t="str">
        <f t="shared" si="15"/>
        <v/>
      </c>
      <c r="AT56" s="416"/>
    </row>
    <row r="57" spans="1:46" ht="15" x14ac:dyDescent="0.25">
      <c r="A57" s="592">
        <v>54</v>
      </c>
      <c r="B57" s="604"/>
      <c r="C57" s="302"/>
      <c r="D57" s="304"/>
      <c r="E57" s="306"/>
      <c r="F57" s="698"/>
      <c r="G57" s="304"/>
      <c r="H57" s="304"/>
      <c r="I57" s="304"/>
      <c r="J57" s="304"/>
      <c r="K57" s="307"/>
      <c r="L57" s="590" t="str">
        <f t="shared" si="0"/>
        <v/>
      </c>
      <c r="M57" s="416"/>
      <c r="N57" s="405"/>
      <c r="O57" s="468" t="str">
        <f t="shared" si="40"/>
        <v xml:space="preserve"> </v>
      </c>
      <c r="P57" s="468" t="str">
        <f t="shared" si="41"/>
        <v xml:space="preserve"> </v>
      </c>
      <c r="Q57" s="468" t="str">
        <f t="shared" si="42"/>
        <v xml:space="preserve"> </v>
      </c>
      <c r="R57" s="468" t="str">
        <f t="shared" si="43"/>
        <v xml:space="preserve"> </v>
      </c>
      <c r="S57" s="468" t="str">
        <f t="shared" si="44"/>
        <v xml:space="preserve"> </v>
      </c>
      <c r="T57" s="468" t="str">
        <f t="shared" si="45"/>
        <v xml:space="preserve"> </v>
      </c>
      <c r="U57" s="405"/>
      <c r="V57" s="405"/>
      <c r="W57" s="405"/>
      <c r="X57" s="405"/>
      <c r="Y57" s="405"/>
      <c r="Z57" s="405"/>
      <c r="AA57" s="405"/>
      <c r="AB57" s="405"/>
      <c r="AC57" s="389" t="e">
        <f t="shared" si="19"/>
        <v>#N/A</v>
      </c>
      <c r="AD57" s="390">
        <f t="shared" si="20"/>
        <v>0</v>
      </c>
      <c r="AE57" s="390">
        <f t="shared" si="21"/>
        <v>0</v>
      </c>
      <c r="AF57" s="391">
        <f t="shared" si="22"/>
        <v>0</v>
      </c>
      <c r="AG57" s="392">
        <f t="shared" si="23"/>
        <v>0</v>
      </c>
      <c r="AH57" s="392">
        <f t="shared" si="24"/>
        <v>0</v>
      </c>
      <c r="AI57" s="392">
        <f t="shared" si="25"/>
        <v>0</v>
      </c>
      <c r="AJ57" s="393">
        <f t="shared" si="26"/>
        <v>0</v>
      </c>
      <c r="AK57" s="391">
        <f t="shared" si="27"/>
        <v>0</v>
      </c>
      <c r="AL57" s="391">
        <f t="shared" si="28"/>
        <v>0</v>
      </c>
      <c r="AM57" s="391">
        <f t="shared" si="29"/>
        <v>0</v>
      </c>
      <c r="AN57" s="391">
        <f t="shared" si="30"/>
        <v>0</v>
      </c>
      <c r="AO57" s="403">
        <f t="shared" si="31"/>
        <v>0</v>
      </c>
      <c r="AP57" s="405"/>
      <c r="AQ57" s="390" t="e">
        <f t="shared" si="32"/>
        <v>#N/A</v>
      </c>
      <c r="AR57" s="408">
        <f t="shared" si="33"/>
        <v>0</v>
      </c>
      <c r="AS57" s="409" t="str">
        <f t="shared" si="15"/>
        <v/>
      </c>
      <c r="AT57" s="416"/>
    </row>
    <row r="58" spans="1:46" ht="15" x14ac:dyDescent="0.25">
      <c r="A58" s="592">
        <v>55</v>
      </c>
      <c r="B58" s="604"/>
      <c r="C58" s="302"/>
      <c r="D58" s="304"/>
      <c r="E58" s="306"/>
      <c r="F58" s="698"/>
      <c r="G58" s="304"/>
      <c r="H58" s="304"/>
      <c r="I58" s="304"/>
      <c r="J58" s="304"/>
      <c r="K58" s="307"/>
      <c r="L58" s="590" t="str">
        <f t="shared" si="0"/>
        <v/>
      </c>
      <c r="M58" s="416"/>
      <c r="N58" s="405"/>
      <c r="O58" s="468" t="str">
        <f t="shared" si="40"/>
        <v xml:space="preserve"> </v>
      </c>
      <c r="P58" s="468" t="str">
        <f t="shared" si="41"/>
        <v xml:space="preserve"> </v>
      </c>
      <c r="Q58" s="468" t="str">
        <f t="shared" si="42"/>
        <v xml:space="preserve"> </v>
      </c>
      <c r="R58" s="468" t="str">
        <f t="shared" si="43"/>
        <v xml:space="preserve"> </v>
      </c>
      <c r="S58" s="468" t="str">
        <f t="shared" si="44"/>
        <v xml:space="preserve"> </v>
      </c>
      <c r="T58" s="468" t="str">
        <f t="shared" si="45"/>
        <v xml:space="preserve"> </v>
      </c>
      <c r="U58" s="405"/>
      <c r="V58" s="405"/>
      <c r="W58" s="405"/>
      <c r="X58" s="405"/>
      <c r="Y58" s="405"/>
      <c r="Z58" s="405"/>
      <c r="AA58" s="405"/>
      <c r="AB58" s="405"/>
      <c r="AC58" s="389" t="e">
        <f t="shared" si="19"/>
        <v>#N/A</v>
      </c>
      <c r="AD58" s="390">
        <f t="shared" si="20"/>
        <v>0</v>
      </c>
      <c r="AE58" s="390">
        <f t="shared" si="21"/>
        <v>0</v>
      </c>
      <c r="AF58" s="391">
        <f t="shared" si="22"/>
        <v>0</v>
      </c>
      <c r="AG58" s="392">
        <f t="shared" si="23"/>
        <v>0</v>
      </c>
      <c r="AH58" s="392">
        <f t="shared" si="24"/>
        <v>0</v>
      </c>
      <c r="AI58" s="392">
        <f t="shared" si="25"/>
        <v>0</v>
      </c>
      <c r="AJ58" s="393">
        <f t="shared" si="26"/>
        <v>0</v>
      </c>
      <c r="AK58" s="391">
        <f t="shared" si="27"/>
        <v>0</v>
      </c>
      <c r="AL58" s="391">
        <f t="shared" si="28"/>
        <v>0</v>
      </c>
      <c r="AM58" s="391">
        <f t="shared" si="29"/>
        <v>0</v>
      </c>
      <c r="AN58" s="391">
        <f t="shared" si="30"/>
        <v>0</v>
      </c>
      <c r="AO58" s="403">
        <f t="shared" si="31"/>
        <v>0</v>
      </c>
      <c r="AP58" s="405"/>
      <c r="AQ58" s="390" t="e">
        <f t="shared" si="32"/>
        <v>#N/A</v>
      </c>
      <c r="AR58" s="408">
        <f t="shared" si="33"/>
        <v>0</v>
      </c>
      <c r="AS58" s="409" t="str">
        <f t="shared" si="15"/>
        <v/>
      </c>
      <c r="AT58" s="416"/>
    </row>
    <row r="59" spans="1:46" ht="15" x14ac:dyDescent="0.25">
      <c r="A59" s="592">
        <v>56</v>
      </c>
      <c r="B59" s="604"/>
      <c r="C59" s="302"/>
      <c r="D59" s="304"/>
      <c r="E59" s="306"/>
      <c r="F59" s="698"/>
      <c r="G59" s="304"/>
      <c r="H59" s="304"/>
      <c r="I59" s="304"/>
      <c r="J59" s="304"/>
      <c r="K59" s="307"/>
      <c r="L59" s="590" t="str">
        <f t="shared" si="0"/>
        <v/>
      </c>
      <c r="M59" s="416"/>
      <c r="N59" s="405"/>
      <c r="O59" s="468" t="str">
        <f t="shared" si="40"/>
        <v xml:space="preserve"> </v>
      </c>
      <c r="P59" s="468" t="str">
        <f t="shared" si="41"/>
        <v xml:space="preserve"> </v>
      </c>
      <c r="Q59" s="468" t="str">
        <f t="shared" si="42"/>
        <v xml:space="preserve"> </v>
      </c>
      <c r="R59" s="468" t="str">
        <f t="shared" si="43"/>
        <v xml:space="preserve"> </v>
      </c>
      <c r="S59" s="468" t="str">
        <f t="shared" si="44"/>
        <v xml:space="preserve"> </v>
      </c>
      <c r="T59" s="468" t="str">
        <f t="shared" si="45"/>
        <v xml:space="preserve"> </v>
      </c>
      <c r="U59" s="405"/>
      <c r="V59" s="405"/>
      <c r="W59" s="405"/>
      <c r="X59" s="405"/>
      <c r="Y59" s="405"/>
      <c r="Z59" s="405"/>
      <c r="AA59" s="405"/>
      <c r="AB59" s="405"/>
      <c r="AC59" s="389" t="e">
        <f t="shared" si="19"/>
        <v>#N/A</v>
      </c>
      <c r="AD59" s="390">
        <f t="shared" si="20"/>
        <v>0</v>
      </c>
      <c r="AE59" s="390">
        <f t="shared" si="21"/>
        <v>0</v>
      </c>
      <c r="AF59" s="391">
        <f t="shared" si="22"/>
        <v>0</v>
      </c>
      <c r="AG59" s="392">
        <f t="shared" si="23"/>
        <v>0</v>
      </c>
      <c r="AH59" s="392">
        <f t="shared" si="24"/>
        <v>0</v>
      </c>
      <c r="AI59" s="392">
        <f t="shared" si="25"/>
        <v>0</v>
      </c>
      <c r="AJ59" s="393">
        <f t="shared" si="26"/>
        <v>0</v>
      </c>
      <c r="AK59" s="391">
        <f t="shared" si="27"/>
        <v>0</v>
      </c>
      <c r="AL59" s="391">
        <f t="shared" si="28"/>
        <v>0</v>
      </c>
      <c r="AM59" s="391">
        <f t="shared" si="29"/>
        <v>0</v>
      </c>
      <c r="AN59" s="391">
        <f t="shared" si="30"/>
        <v>0</v>
      </c>
      <c r="AO59" s="403">
        <f t="shared" si="31"/>
        <v>0</v>
      </c>
      <c r="AP59" s="405"/>
      <c r="AQ59" s="390" t="e">
        <f t="shared" si="32"/>
        <v>#N/A</v>
      </c>
      <c r="AR59" s="408">
        <f t="shared" si="33"/>
        <v>0</v>
      </c>
      <c r="AS59" s="409" t="str">
        <f t="shared" si="15"/>
        <v/>
      </c>
      <c r="AT59" s="416"/>
    </row>
    <row r="60" spans="1:46" ht="15" x14ac:dyDescent="0.25">
      <c r="A60" s="592">
        <v>57</v>
      </c>
      <c r="B60" s="604"/>
      <c r="C60" s="302"/>
      <c r="D60" s="304"/>
      <c r="E60" s="306"/>
      <c r="F60" s="698"/>
      <c r="G60" s="304"/>
      <c r="H60" s="304"/>
      <c r="I60" s="304"/>
      <c r="J60" s="304"/>
      <c r="K60" s="307"/>
      <c r="L60" s="590" t="str">
        <f t="shared" si="0"/>
        <v/>
      </c>
      <c r="M60" s="416"/>
      <c r="N60" s="405"/>
      <c r="O60" s="468" t="str">
        <f t="shared" si="40"/>
        <v xml:space="preserve"> </v>
      </c>
      <c r="P60" s="468" t="str">
        <f t="shared" si="41"/>
        <v xml:space="preserve"> </v>
      </c>
      <c r="Q60" s="468" t="str">
        <f t="shared" si="42"/>
        <v xml:space="preserve"> </v>
      </c>
      <c r="R60" s="468" t="str">
        <f t="shared" si="43"/>
        <v xml:space="preserve"> </v>
      </c>
      <c r="S60" s="468" t="str">
        <f t="shared" si="44"/>
        <v xml:space="preserve"> </v>
      </c>
      <c r="T60" s="468" t="str">
        <f t="shared" si="45"/>
        <v xml:space="preserve"> </v>
      </c>
      <c r="U60" s="405"/>
      <c r="V60" s="405"/>
      <c r="W60" s="405"/>
      <c r="X60" s="405"/>
      <c r="Y60" s="405"/>
      <c r="Z60" s="405"/>
      <c r="AA60" s="405"/>
      <c r="AB60" s="405"/>
      <c r="AC60" s="389" t="e">
        <f t="shared" si="19"/>
        <v>#N/A</v>
      </c>
      <c r="AD60" s="390">
        <f t="shared" si="20"/>
        <v>0</v>
      </c>
      <c r="AE60" s="390">
        <f t="shared" si="21"/>
        <v>0</v>
      </c>
      <c r="AF60" s="391">
        <f t="shared" si="22"/>
        <v>0</v>
      </c>
      <c r="AG60" s="392">
        <f t="shared" si="23"/>
        <v>0</v>
      </c>
      <c r="AH60" s="392">
        <f t="shared" si="24"/>
        <v>0</v>
      </c>
      <c r="AI60" s="392">
        <f t="shared" si="25"/>
        <v>0</v>
      </c>
      <c r="AJ60" s="393">
        <f t="shared" si="26"/>
        <v>0</v>
      </c>
      <c r="AK60" s="391">
        <f t="shared" si="27"/>
        <v>0</v>
      </c>
      <c r="AL60" s="391">
        <f t="shared" si="28"/>
        <v>0</v>
      </c>
      <c r="AM60" s="391">
        <f t="shared" si="29"/>
        <v>0</v>
      </c>
      <c r="AN60" s="391">
        <f t="shared" si="30"/>
        <v>0</v>
      </c>
      <c r="AO60" s="403">
        <f t="shared" si="31"/>
        <v>0</v>
      </c>
      <c r="AP60" s="405"/>
      <c r="AQ60" s="390" t="e">
        <f t="shared" si="32"/>
        <v>#N/A</v>
      </c>
      <c r="AR60" s="408">
        <f t="shared" si="33"/>
        <v>0</v>
      </c>
      <c r="AS60" s="409" t="str">
        <f t="shared" si="15"/>
        <v/>
      </c>
      <c r="AT60" s="416"/>
    </row>
    <row r="61" spans="1:46" ht="15" x14ac:dyDescent="0.25">
      <c r="A61" s="592">
        <v>58</v>
      </c>
      <c r="B61" s="604"/>
      <c r="C61" s="302"/>
      <c r="D61" s="304"/>
      <c r="E61" s="306"/>
      <c r="F61" s="698"/>
      <c r="G61" s="304"/>
      <c r="H61" s="304"/>
      <c r="I61" s="304"/>
      <c r="J61" s="304"/>
      <c r="K61" s="307"/>
      <c r="L61" s="590" t="str">
        <f t="shared" si="0"/>
        <v/>
      </c>
      <c r="M61" s="416"/>
      <c r="N61" s="405"/>
      <c r="O61" s="468" t="str">
        <f t="shared" si="40"/>
        <v xml:space="preserve"> </v>
      </c>
      <c r="P61" s="468" t="str">
        <f t="shared" si="41"/>
        <v xml:space="preserve"> </v>
      </c>
      <c r="Q61" s="468" t="str">
        <f t="shared" si="42"/>
        <v xml:space="preserve"> </v>
      </c>
      <c r="R61" s="468" t="str">
        <f t="shared" si="43"/>
        <v xml:space="preserve"> </v>
      </c>
      <c r="S61" s="468" t="str">
        <f t="shared" si="44"/>
        <v xml:space="preserve"> </v>
      </c>
      <c r="T61" s="468" t="str">
        <f t="shared" si="45"/>
        <v xml:space="preserve"> </v>
      </c>
      <c r="U61" s="405"/>
      <c r="V61" s="405"/>
      <c r="W61" s="405"/>
      <c r="X61" s="405"/>
      <c r="Y61" s="405"/>
      <c r="Z61" s="405"/>
      <c r="AA61" s="405"/>
      <c r="AB61" s="405"/>
      <c r="AC61" s="389" t="e">
        <f t="shared" si="19"/>
        <v>#N/A</v>
      </c>
      <c r="AD61" s="390">
        <f t="shared" si="20"/>
        <v>0</v>
      </c>
      <c r="AE61" s="390">
        <f t="shared" si="21"/>
        <v>0</v>
      </c>
      <c r="AF61" s="391">
        <f t="shared" si="22"/>
        <v>0</v>
      </c>
      <c r="AG61" s="392">
        <f t="shared" si="23"/>
        <v>0</v>
      </c>
      <c r="AH61" s="392">
        <f t="shared" si="24"/>
        <v>0</v>
      </c>
      <c r="AI61" s="392">
        <f t="shared" si="25"/>
        <v>0</v>
      </c>
      <c r="AJ61" s="393">
        <f t="shared" si="26"/>
        <v>0</v>
      </c>
      <c r="AK61" s="391">
        <f t="shared" si="27"/>
        <v>0</v>
      </c>
      <c r="AL61" s="391">
        <f t="shared" si="28"/>
        <v>0</v>
      </c>
      <c r="AM61" s="391">
        <f t="shared" si="29"/>
        <v>0</v>
      </c>
      <c r="AN61" s="391">
        <f t="shared" si="30"/>
        <v>0</v>
      </c>
      <c r="AO61" s="403">
        <f t="shared" si="31"/>
        <v>0</v>
      </c>
      <c r="AP61" s="405"/>
      <c r="AQ61" s="390" t="e">
        <f t="shared" si="32"/>
        <v>#N/A</v>
      </c>
      <c r="AR61" s="408">
        <f t="shared" si="33"/>
        <v>0</v>
      </c>
      <c r="AS61" s="409" t="str">
        <f t="shared" si="15"/>
        <v/>
      </c>
      <c r="AT61" s="416"/>
    </row>
    <row r="62" spans="1:46" ht="15" x14ac:dyDescent="0.25">
      <c r="A62" s="592">
        <v>59</v>
      </c>
      <c r="B62" s="604"/>
      <c r="C62" s="302"/>
      <c r="D62" s="304"/>
      <c r="E62" s="306"/>
      <c r="F62" s="698"/>
      <c r="G62" s="304"/>
      <c r="H62" s="304"/>
      <c r="I62" s="304"/>
      <c r="J62" s="304"/>
      <c r="K62" s="307"/>
      <c r="L62" s="590" t="str">
        <f t="shared" si="0"/>
        <v/>
      </c>
      <c r="M62" s="416"/>
      <c r="N62" s="405"/>
      <c r="O62" s="468" t="str">
        <f t="shared" si="40"/>
        <v xml:space="preserve"> </v>
      </c>
      <c r="P62" s="468" t="str">
        <f t="shared" si="41"/>
        <v xml:space="preserve"> </v>
      </c>
      <c r="Q62" s="468" t="str">
        <f t="shared" si="42"/>
        <v xml:space="preserve"> </v>
      </c>
      <c r="R62" s="468" t="str">
        <f t="shared" si="43"/>
        <v xml:space="preserve"> </v>
      </c>
      <c r="S62" s="468" t="str">
        <f t="shared" si="44"/>
        <v xml:space="preserve"> </v>
      </c>
      <c r="T62" s="468" t="str">
        <f t="shared" si="45"/>
        <v xml:space="preserve"> </v>
      </c>
      <c r="U62" s="405"/>
      <c r="V62" s="405"/>
      <c r="W62" s="405"/>
      <c r="X62" s="405"/>
      <c r="Y62" s="405"/>
      <c r="Z62" s="405"/>
      <c r="AA62" s="405"/>
      <c r="AB62" s="405"/>
      <c r="AC62" s="389" t="e">
        <f t="shared" si="19"/>
        <v>#N/A</v>
      </c>
      <c r="AD62" s="390">
        <f t="shared" si="20"/>
        <v>0</v>
      </c>
      <c r="AE62" s="390">
        <f t="shared" si="21"/>
        <v>0</v>
      </c>
      <c r="AF62" s="391">
        <f t="shared" si="22"/>
        <v>0</v>
      </c>
      <c r="AG62" s="392">
        <f t="shared" si="23"/>
        <v>0</v>
      </c>
      <c r="AH62" s="392">
        <f t="shared" si="24"/>
        <v>0</v>
      </c>
      <c r="AI62" s="392">
        <f t="shared" si="25"/>
        <v>0</v>
      </c>
      <c r="AJ62" s="393">
        <f t="shared" si="26"/>
        <v>0</v>
      </c>
      <c r="AK62" s="391">
        <f t="shared" si="27"/>
        <v>0</v>
      </c>
      <c r="AL62" s="391">
        <f t="shared" si="28"/>
        <v>0</v>
      </c>
      <c r="AM62" s="391">
        <f t="shared" si="29"/>
        <v>0</v>
      </c>
      <c r="AN62" s="391">
        <f t="shared" si="30"/>
        <v>0</v>
      </c>
      <c r="AO62" s="403">
        <f t="shared" si="31"/>
        <v>0</v>
      </c>
      <c r="AP62" s="405"/>
      <c r="AQ62" s="390" t="e">
        <f t="shared" si="32"/>
        <v>#N/A</v>
      </c>
      <c r="AR62" s="408">
        <f t="shared" si="33"/>
        <v>0</v>
      </c>
      <c r="AS62" s="409" t="str">
        <f t="shared" si="15"/>
        <v/>
      </c>
      <c r="AT62" s="416"/>
    </row>
    <row r="63" spans="1:46" ht="15" x14ac:dyDescent="0.25">
      <c r="A63" s="592">
        <v>60</v>
      </c>
      <c r="B63" s="604"/>
      <c r="C63" s="302"/>
      <c r="D63" s="304"/>
      <c r="E63" s="306"/>
      <c r="F63" s="698"/>
      <c r="G63" s="304"/>
      <c r="H63" s="304"/>
      <c r="I63" s="304"/>
      <c r="J63" s="304"/>
      <c r="K63" s="307"/>
      <c r="L63" s="590" t="str">
        <f t="shared" si="0"/>
        <v/>
      </c>
      <c r="M63" s="416"/>
      <c r="N63" s="405"/>
      <c r="O63" s="468" t="str">
        <f t="shared" si="40"/>
        <v xml:space="preserve"> </v>
      </c>
      <c r="P63" s="468" t="str">
        <f t="shared" si="41"/>
        <v xml:space="preserve"> </v>
      </c>
      <c r="Q63" s="468" t="str">
        <f t="shared" si="42"/>
        <v xml:space="preserve"> </v>
      </c>
      <c r="R63" s="468" t="str">
        <f t="shared" si="43"/>
        <v xml:space="preserve"> </v>
      </c>
      <c r="S63" s="468" t="str">
        <f t="shared" si="44"/>
        <v xml:space="preserve"> </v>
      </c>
      <c r="T63" s="468" t="str">
        <f t="shared" si="45"/>
        <v xml:space="preserve"> </v>
      </c>
      <c r="U63" s="405"/>
      <c r="V63" s="405"/>
      <c r="W63" s="405"/>
      <c r="X63" s="405"/>
      <c r="Y63" s="405"/>
      <c r="Z63" s="405"/>
      <c r="AA63" s="405"/>
      <c r="AB63" s="405"/>
      <c r="AC63" s="389" t="e">
        <f t="shared" si="19"/>
        <v>#N/A</v>
      </c>
      <c r="AD63" s="390">
        <f t="shared" si="20"/>
        <v>0</v>
      </c>
      <c r="AE63" s="390">
        <f t="shared" si="21"/>
        <v>0</v>
      </c>
      <c r="AF63" s="391">
        <f t="shared" si="22"/>
        <v>0</v>
      </c>
      <c r="AG63" s="392">
        <f t="shared" si="23"/>
        <v>0</v>
      </c>
      <c r="AH63" s="392">
        <f t="shared" si="24"/>
        <v>0</v>
      </c>
      <c r="AI63" s="392">
        <f t="shared" si="25"/>
        <v>0</v>
      </c>
      <c r="AJ63" s="393">
        <f t="shared" si="26"/>
        <v>0</v>
      </c>
      <c r="AK63" s="391">
        <f t="shared" si="27"/>
        <v>0</v>
      </c>
      <c r="AL63" s="391">
        <f t="shared" si="28"/>
        <v>0</v>
      </c>
      <c r="AM63" s="391">
        <f t="shared" si="29"/>
        <v>0</v>
      </c>
      <c r="AN63" s="391">
        <f t="shared" si="30"/>
        <v>0</v>
      </c>
      <c r="AO63" s="403">
        <f t="shared" si="31"/>
        <v>0</v>
      </c>
      <c r="AP63" s="405"/>
      <c r="AQ63" s="390" t="e">
        <f t="shared" si="32"/>
        <v>#N/A</v>
      </c>
      <c r="AR63" s="408">
        <f t="shared" si="33"/>
        <v>0</v>
      </c>
      <c r="AS63" s="409" t="str">
        <f t="shared" si="15"/>
        <v/>
      </c>
      <c r="AT63" s="416"/>
    </row>
    <row r="64" spans="1:46" ht="15" x14ac:dyDescent="0.25">
      <c r="A64" s="592">
        <v>61</v>
      </c>
      <c r="B64" s="604"/>
      <c r="C64" s="302"/>
      <c r="D64" s="304"/>
      <c r="E64" s="306"/>
      <c r="F64" s="698"/>
      <c r="G64" s="304"/>
      <c r="H64" s="304"/>
      <c r="I64" s="304"/>
      <c r="J64" s="304"/>
      <c r="K64" s="307"/>
      <c r="L64" s="590" t="str">
        <f t="shared" si="0"/>
        <v/>
      </c>
      <c r="M64" s="416"/>
      <c r="N64" s="405"/>
      <c r="O64" s="468" t="str">
        <f t="shared" si="40"/>
        <v xml:space="preserve"> </v>
      </c>
      <c r="P64" s="468" t="str">
        <f t="shared" si="41"/>
        <v xml:space="preserve"> </v>
      </c>
      <c r="Q64" s="468" t="str">
        <f t="shared" si="42"/>
        <v xml:space="preserve"> </v>
      </c>
      <c r="R64" s="468" t="str">
        <f t="shared" si="43"/>
        <v xml:space="preserve"> </v>
      </c>
      <c r="S64" s="468" t="str">
        <f t="shared" si="44"/>
        <v xml:space="preserve"> </v>
      </c>
      <c r="T64" s="468" t="str">
        <f t="shared" si="45"/>
        <v xml:space="preserve"> </v>
      </c>
      <c r="U64" s="405"/>
      <c r="V64" s="405"/>
      <c r="W64" s="405"/>
      <c r="X64" s="405"/>
      <c r="Y64" s="405"/>
      <c r="Z64" s="405"/>
      <c r="AA64" s="405"/>
      <c r="AB64" s="405"/>
      <c r="AC64" s="389" t="e">
        <f t="shared" si="19"/>
        <v>#N/A</v>
      </c>
      <c r="AD64" s="390">
        <f t="shared" si="20"/>
        <v>0</v>
      </c>
      <c r="AE64" s="390">
        <f t="shared" si="21"/>
        <v>0</v>
      </c>
      <c r="AF64" s="391">
        <f t="shared" si="22"/>
        <v>0</v>
      </c>
      <c r="AG64" s="392">
        <f t="shared" si="23"/>
        <v>0</v>
      </c>
      <c r="AH64" s="392">
        <f t="shared" si="24"/>
        <v>0</v>
      </c>
      <c r="AI64" s="392">
        <f t="shared" si="25"/>
        <v>0</v>
      </c>
      <c r="AJ64" s="393">
        <f t="shared" si="26"/>
        <v>0</v>
      </c>
      <c r="AK64" s="391">
        <f t="shared" si="27"/>
        <v>0</v>
      </c>
      <c r="AL64" s="391">
        <f t="shared" si="28"/>
        <v>0</v>
      </c>
      <c r="AM64" s="391">
        <f t="shared" si="29"/>
        <v>0</v>
      </c>
      <c r="AN64" s="391">
        <f t="shared" si="30"/>
        <v>0</v>
      </c>
      <c r="AO64" s="403">
        <f t="shared" si="31"/>
        <v>0</v>
      </c>
      <c r="AP64" s="405"/>
      <c r="AQ64" s="390" t="e">
        <f t="shared" si="32"/>
        <v>#N/A</v>
      </c>
      <c r="AR64" s="408">
        <f t="shared" si="33"/>
        <v>0</v>
      </c>
      <c r="AS64" s="409" t="str">
        <f t="shared" si="15"/>
        <v/>
      </c>
      <c r="AT64" s="416"/>
    </row>
    <row r="65" spans="1:46" ht="15" x14ac:dyDescent="0.25">
      <c r="A65" s="592">
        <v>62</v>
      </c>
      <c r="B65" s="604"/>
      <c r="C65" s="302"/>
      <c r="D65" s="304"/>
      <c r="E65" s="306"/>
      <c r="F65" s="698"/>
      <c r="G65" s="304"/>
      <c r="H65" s="304"/>
      <c r="I65" s="304"/>
      <c r="J65" s="304"/>
      <c r="K65" s="307"/>
      <c r="L65" s="590" t="str">
        <f t="shared" si="0"/>
        <v/>
      </c>
      <c r="M65" s="416"/>
      <c r="N65" s="405"/>
      <c r="O65" s="468" t="str">
        <f t="shared" si="40"/>
        <v xml:space="preserve"> </v>
      </c>
      <c r="P65" s="468" t="str">
        <f t="shared" si="41"/>
        <v xml:space="preserve"> </v>
      </c>
      <c r="Q65" s="468" t="str">
        <f t="shared" si="42"/>
        <v xml:space="preserve"> </v>
      </c>
      <c r="R65" s="468" t="str">
        <f t="shared" si="43"/>
        <v xml:space="preserve"> </v>
      </c>
      <c r="S65" s="468" t="str">
        <f t="shared" si="44"/>
        <v xml:space="preserve"> </v>
      </c>
      <c r="T65" s="468" t="str">
        <f t="shared" si="45"/>
        <v xml:space="preserve"> </v>
      </c>
      <c r="U65" s="405"/>
      <c r="V65" s="405"/>
      <c r="W65" s="405"/>
      <c r="X65" s="405"/>
      <c r="Y65" s="405"/>
      <c r="Z65" s="405"/>
      <c r="AA65" s="405"/>
      <c r="AB65" s="405"/>
      <c r="AC65" s="389" t="e">
        <f t="shared" si="19"/>
        <v>#N/A</v>
      </c>
      <c r="AD65" s="390">
        <f t="shared" si="20"/>
        <v>0</v>
      </c>
      <c r="AE65" s="390">
        <f t="shared" si="21"/>
        <v>0</v>
      </c>
      <c r="AF65" s="391">
        <f t="shared" si="22"/>
        <v>0</v>
      </c>
      <c r="AG65" s="392">
        <f t="shared" si="23"/>
        <v>0</v>
      </c>
      <c r="AH65" s="392">
        <f t="shared" si="24"/>
        <v>0</v>
      </c>
      <c r="AI65" s="392">
        <f t="shared" si="25"/>
        <v>0</v>
      </c>
      <c r="AJ65" s="393">
        <f t="shared" si="26"/>
        <v>0</v>
      </c>
      <c r="AK65" s="391">
        <f t="shared" si="27"/>
        <v>0</v>
      </c>
      <c r="AL65" s="391">
        <f t="shared" si="28"/>
        <v>0</v>
      </c>
      <c r="AM65" s="391">
        <f t="shared" si="29"/>
        <v>0</v>
      </c>
      <c r="AN65" s="391">
        <f t="shared" si="30"/>
        <v>0</v>
      </c>
      <c r="AO65" s="403">
        <f t="shared" si="31"/>
        <v>0</v>
      </c>
      <c r="AP65" s="405"/>
      <c r="AQ65" s="390" t="e">
        <f t="shared" si="32"/>
        <v>#N/A</v>
      </c>
      <c r="AR65" s="408">
        <f t="shared" si="33"/>
        <v>0</v>
      </c>
      <c r="AS65" s="409" t="str">
        <f t="shared" si="15"/>
        <v/>
      </c>
      <c r="AT65" s="416"/>
    </row>
    <row r="66" spans="1:46" ht="15" x14ac:dyDescent="0.25">
      <c r="A66" s="592">
        <v>63</v>
      </c>
      <c r="B66" s="604"/>
      <c r="C66" s="302"/>
      <c r="D66" s="304"/>
      <c r="E66" s="306"/>
      <c r="F66" s="698"/>
      <c r="G66" s="304"/>
      <c r="H66" s="304"/>
      <c r="I66" s="304"/>
      <c r="J66" s="304"/>
      <c r="K66" s="307"/>
      <c r="L66" s="590" t="str">
        <f t="shared" si="0"/>
        <v/>
      </c>
      <c r="M66" s="416"/>
      <c r="N66" s="405"/>
      <c r="O66" s="468" t="str">
        <f t="shared" si="40"/>
        <v xml:space="preserve"> </v>
      </c>
      <c r="P66" s="468" t="str">
        <f t="shared" si="41"/>
        <v xml:space="preserve"> </v>
      </c>
      <c r="Q66" s="468" t="str">
        <f t="shared" si="42"/>
        <v xml:space="preserve"> </v>
      </c>
      <c r="R66" s="468" t="str">
        <f t="shared" si="43"/>
        <v xml:space="preserve"> </v>
      </c>
      <c r="S66" s="468" t="str">
        <f t="shared" si="44"/>
        <v xml:space="preserve"> </v>
      </c>
      <c r="T66" s="468" t="str">
        <f t="shared" si="45"/>
        <v xml:space="preserve"> </v>
      </c>
      <c r="U66" s="405"/>
      <c r="V66" s="405"/>
      <c r="W66" s="405"/>
      <c r="X66" s="405"/>
      <c r="Y66" s="405"/>
      <c r="Z66" s="405"/>
      <c r="AA66" s="405"/>
      <c r="AB66" s="405"/>
      <c r="AC66" s="389" t="e">
        <f t="shared" si="19"/>
        <v>#N/A</v>
      </c>
      <c r="AD66" s="390">
        <f t="shared" si="20"/>
        <v>0</v>
      </c>
      <c r="AE66" s="390">
        <f t="shared" si="21"/>
        <v>0</v>
      </c>
      <c r="AF66" s="391">
        <f t="shared" si="22"/>
        <v>0</v>
      </c>
      <c r="AG66" s="392">
        <f t="shared" si="23"/>
        <v>0</v>
      </c>
      <c r="AH66" s="392">
        <f t="shared" si="24"/>
        <v>0</v>
      </c>
      <c r="AI66" s="392">
        <f t="shared" si="25"/>
        <v>0</v>
      </c>
      <c r="AJ66" s="393">
        <f t="shared" si="26"/>
        <v>0</v>
      </c>
      <c r="AK66" s="391">
        <f t="shared" si="27"/>
        <v>0</v>
      </c>
      <c r="AL66" s="391">
        <f t="shared" si="28"/>
        <v>0</v>
      </c>
      <c r="AM66" s="391">
        <f t="shared" si="29"/>
        <v>0</v>
      </c>
      <c r="AN66" s="391">
        <f t="shared" si="30"/>
        <v>0</v>
      </c>
      <c r="AO66" s="403">
        <f t="shared" si="31"/>
        <v>0</v>
      </c>
      <c r="AP66" s="405"/>
      <c r="AQ66" s="390" t="e">
        <f t="shared" si="32"/>
        <v>#N/A</v>
      </c>
      <c r="AR66" s="408">
        <f t="shared" si="33"/>
        <v>0</v>
      </c>
      <c r="AS66" s="409" t="str">
        <f t="shared" si="15"/>
        <v/>
      </c>
      <c r="AT66" s="416"/>
    </row>
    <row r="67" spans="1:46" ht="15" x14ac:dyDescent="0.25">
      <c r="A67" s="592">
        <v>64</v>
      </c>
      <c r="B67" s="604"/>
      <c r="C67" s="302"/>
      <c r="D67" s="304"/>
      <c r="E67" s="306"/>
      <c r="F67" s="698"/>
      <c r="G67" s="304"/>
      <c r="H67" s="304"/>
      <c r="I67" s="304"/>
      <c r="J67" s="304"/>
      <c r="K67" s="307"/>
      <c r="L67" s="590" t="str">
        <f t="shared" si="0"/>
        <v/>
      </c>
      <c r="M67" s="416"/>
      <c r="N67" s="405"/>
      <c r="O67" s="468" t="str">
        <f t="shared" si="40"/>
        <v xml:space="preserve"> </v>
      </c>
      <c r="P67" s="468" t="str">
        <f t="shared" si="41"/>
        <v xml:space="preserve"> </v>
      </c>
      <c r="Q67" s="468" t="str">
        <f t="shared" si="42"/>
        <v xml:space="preserve"> </v>
      </c>
      <c r="R67" s="468" t="str">
        <f t="shared" si="43"/>
        <v xml:space="preserve"> </v>
      </c>
      <c r="S67" s="468" t="str">
        <f t="shared" si="44"/>
        <v xml:space="preserve"> </v>
      </c>
      <c r="T67" s="468" t="str">
        <f t="shared" si="45"/>
        <v xml:space="preserve"> </v>
      </c>
      <c r="U67" s="405"/>
      <c r="V67" s="405"/>
      <c r="W67" s="405"/>
      <c r="X67" s="405"/>
      <c r="Y67" s="405"/>
      <c r="Z67" s="405"/>
      <c r="AA67" s="405"/>
      <c r="AB67" s="405"/>
      <c r="AC67" s="389" t="e">
        <f t="shared" si="19"/>
        <v>#N/A</v>
      </c>
      <c r="AD67" s="390">
        <f t="shared" si="20"/>
        <v>0</v>
      </c>
      <c r="AE67" s="390">
        <f t="shared" si="21"/>
        <v>0</v>
      </c>
      <c r="AF67" s="391">
        <f t="shared" si="22"/>
        <v>0</v>
      </c>
      <c r="AG67" s="392">
        <f t="shared" si="23"/>
        <v>0</v>
      </c>
      <c r="AH67" s="392">
        <f t="shared" si="24"/>
        <v>0</v>
      </c>
      <c r="AI67" s="392">
        <f t="shared" si="25"/>
        <v>0</v>
      </c>
      <c r="AJ67" s="393">
        <f t="shared" si="26"/>
        <v>0</v>
      </c>
      <c r="AK67" s="391">
        <f t="shared" si="27"/>
        <v>0</v>
      </c>
      <c r="AL67" s="391">
        <f t="shared" si="28"/>
        <v>0</v>
      </c>
      <c r="AM67" s="391">
        <f t="shared" si="29"/>
        <v>0</v>
      </c>
      <c r="AN67" s="391">
        <f t="shared" si="30"/>
        <v>0</v>
      </c>
      <c r="AO67" s="403">
        <f t="shared" si="31"/>
        <v>0</v>
      </c>
      <c r="AP67" s="405"/>
      <c r="AQ67" s="390" t="e">
        <f t="shared" si="32"/>
        <v>#N/A</v>
      </c>
      <c r="AR67" s="408">
        <f t="shared" si="33"/>
        <v>0</v>
      </c>
      <c r="AS67" s="409" t="str">
        <f t="shared" si="15"/>
        <v/>
      </c>
      <c r="AT67" s="416"/>
    </row>
    <row r="68" spans="1:46" ht="15" x14ac:dyDescent="0.25">
      <c r="A68" s="592">
        <v>65</v>
      </c>
      <c r="B68" s="604"/>
      <c r="C68" s="302"/>
      <c r="D68" s="304"/>
      <c r="E68" s="306"/>
      <c r="F68" s="698"/>
      <c r="G68" s="304"/>
      <c r="H68" s="304"/>
      <c r="I68" s="304"/>
      <c r="J68" s="304"/>
      <c r="K68" s="307"/>
      <c r="L68" s="590" t="str">
        <f t="shared" ref="L68:L131" si="46">IF(B68="No","N/A",AS68)</f>
        <v/>
      </c>
      <c r="M68" s="416"/>
      <c r="N68" s="405"/>
      <c r="O68" s="468" t="str">
        <f t="shared" si="40"/>
        <v xml:space="preserve"> </v>
      </c>
      <c r="P68" s="468" t="str">
        <f t="shared" si="41"/>
        <v xml:space="preserve"> </v>
      </c>
      <c r="Q68" s="468" t="str">
        <f t="shared" si="42"/>
        <v xml:space="preserve"> </v>
      </c>
      <c r="R68" s="468" t="str">
        <f t="shared" si="43"/>
        <v xml:space="preserve"> </v>
      </c>
      <c r="S68" s="468" t="str">
        <f t="shared" si="44"/>
        <v xml:space="preserve"> </v>
      </c>
      <c r="T68" s="468" t="str">
        <f t="shared" si="45"/>
        <v xml:space="preserve"> </v>
      </c>
      <c r="U68" s="405"/>
      <c r="V68" s="405"/>
      <c r="W68" s="405"/>
      <c r="X68" s="405"/>
      <c r="Y68" s="405"/>
      <c r="Z68" s="405"/>
      <c r="AA68" s="405"/>
      <c r="AB68" s="405"/>
      <c r="AC68" s="389" t="e">
        <f t="shared" si="19"/>
        <v>#N/A</v>
      </c>
      <c r="AD68" s="390">
        <f t="shared" si="20"/>
        <v>0</v>
      </c>
      <c r="AE68" s="390">
        <f t="shared" si="21"/>
        <v>0</v>
      </c>
      <c r="AF68" s="391">
        <f t="shared" si="22"/>
        <v>0</v>
      </c>
      <c r="AG68" s="392">
        <f t="shared" si="23"/>
        <v>0</v>
      </c>
      <c r="AH68" s="392">
        <f t="shared" si="24"/>
        <v>0</v>
      </c>
      <c r="AI68" s="392">
        <f t="shared" si="25"/>
        <v>0</v>
      </c>
      <c r="AJ68" s="393">
        <f t="shared" si="26"/>
        <v>0</v>
      </c>
      <c r="AK68" s="391">
        <f t="shared" si="27"/>
        <v>0</v>
      </c>
      <c r="AL68" s="391">
        <f t="shared" si="28"/>
        <v>0</v>
      </c>
      <c r="AM68" s="391">
        <f t="shared" si="29"/>
        <v>0</v>
      </c>
      <c r="AN68" s="391">
        <f t="shared" si="30"/>
        <v>0</v>
      </c>
      <c r="AO68" s="403">
        <f t="shared" si="31"/>
        <v>0</v>
      </c>
      <c r="AP68" s="405"/>
      <c r="AQ68" s="390" t="e">
        <f t="shared" si="32"/>
        <v>#N/A</v>
      </c>
      <c r="AR68" s="408">
        <f t="shared" si="33"/>
        <v>0</v>
      </c>
      <c r="AS68" s="409" t="str">
        <f t="shared" ref="AS68:AS131" si="47">IFERROR(IF(AR68 &gt; AQ68, "No", IF(AR68 &lt; AQ68, "Yes", IF(AR68 = AQ68, "Yes", ""))), "")</f>
        <v/>
      </c>
      <c r="AT68" s="416"/>
    </row>
    <row r="69" spans="1:46" ht="15" x14ac:dyDescent="0.25">
      <c r="A69" s="592">
        <v>66</v>
      </c>
      <c r="B69" s="604"/>
      <c r="C69" s="302"/>
      <c r="D69" s="304"/>
      <c r="E69" s="306"/>
      <c r="F69" s="698"/>
      <c r="G69" s="304"/>
      <c r="H69" s="304"/>
      <c r="I69" s="304"/>
      <c r="J69" s="304"/>
      <c r="K69" s="307"/>
      <c r="L69" s="590" t="str">
        <f t="shared" si="46"/>
        <v/>
      </c>
      <c r="M69" s="416"/>
      <c r="N69" s="405"/>
      <c r="O69" s="468" t="str">
        <f t="shared" si="40"/>
        <v xml:space="preserve"> </v>
      </c>
      <c r="P69" s="468" t="str">
        <f t="shared" si="41"/>
        <v xml:space="preserve"> </v>
      </c>
      <c r="Q69" s="468" t="str">
        <f t="shared" si="42"/>
        <v xml:space="preserve"> </v>
      </c>
      <c r="R69" s="468" t="str">
        <f t="shared" si="43"/>
        <v xml:space="preserve"> </v>
      </c>
      <c r="S69" s="468" t="str">
        <f t="shared" si="44"/>
        <v xml:space="preserve"> </v>
      </c>
      <c r="T69" s="468" t="str">
        <f t="shared" si="45"/>
        <v xml:space="preserve"> </v>
      </c>
      <c r="U69" s="405"/>
      <c r="V69" s="405"/>
      <c r="W69" s="405"/>
      <c r="X69" s="405"/>
      <c r="Y69" s="405"/>
      <c r="Z69" s="405"/>
      <c r="AA69" s="405"/>
      <c r="AB69" s="405"/>
      <c r="AC69" s="389" t="e">
        <f t="shared" si="19"/>
        <v>#N/A</v>
      </c>
      <c r="AD69" s="390">
        <f t="shared" si="20"/>
        <v>0</v>
      </c>
      <c r="AE69" s="390">
        <f t="shared" si="21"/>
        <v>0</v>
      </c>
      <c r="AF69" s="391">
        <f t="shared" si="22"/>
        <v>0</v>
      </c>
      <c r="AG69" s="392">
        <f t="shared" si="23"/>
        <v>0</v>
      </c>
      <c r="AH69" s="392">
        <f t="shared" si="24"/>
        <v>0</v>
      </c>
      <c r="AI69" s="392">
        <f t="shared" si="25"/>
        <v>0</v>
      </c>
      <c r="AJ69" s="393">
        <f t="shared" si="26"/>
        <v>0</v>
      </c>
      <c r="AK69" s="391">
        <f t="shared" si="27"/>
        <v>0</v>
      </c>
      <c r="AL69" s="391">
        <f t="shared" si="28"/>
        <v>0</v>
      </c>
      <c r="AM69" s="391">
        <f t="shared" si="29"/>
        <v>0</v>
      </c>
      <c r="AN69" s="391">
        <f t="shared" si="30"/>
        <v>0</v>
      </c>
      <c r="AO69" s="403">
        <f t="shared" si="31"/>
        <v>0</v>
      </c>
      <c r="AP69" s="405"/>
      <c r="AQ69" s="390" t="e">
        <f t="shared" si="32"/>
        <v>#N/A</v>
      </c>
      <c r="AR69" s="408">
        <f t="shared" si="33"/>
        <v>0</v>
      </c>
      <c r="AS69" s="409" t="str">
        <f t="shared" si="47"/>
        <v/>
      </c>
      <c r="AT69" s="416"/>
    </row>
    <row r="70" spans="1:46" ht="15" x14ac:dyDescent="0.25">
      <c r="A70" s="592">
        <v>67</v>
      </c>
      <c r="B70" s="604"/>
      <c r="C70" s="302"/>
      <c r="D70" s="304"/>
      <c r="E70" s="306"/>
      <c r="F70" s="698"/>
      <c r="G70" s="304"/>
      <c r="H70" s="304"/>
      <c r="I70" s="304"/>
      <c r="J70" s="304"/>
      <c r="K70" s="307"/>
      <c r="L70" s="590" t="str">
        <f t="shared" si="46"/>
        <v/>
      </c>
      <c r="M70" s="416"/>
      <c r="N70" s="405"/>
      <c r="O70" s="468" t="str">
        <f t="shared" si="40"/>
        <v xml:space="preserve"> </v>
      </c>
      <c r="P70" s="468" t="str">
        <f t="shared" si="41"/>
        <v xml:space="preserve"> </v>
      </c>
      <c r="Q70" s="468" t="str">
        <f t="shared" si="42"/>
        <v xml:space="preserve"> </v>
      </c>
      <c r="R70" s="468" t="str">
        <f t="shared" si="43"/>
        <v xml:space="preserve"> </v>
      </c>
      <c r="S70" s="468" t="str">
        <f t="shared" si="44"/>
        <v xml:space="preserve"> </v>
      </c>
      <c r="T70" s="468" t="str">
        <f t="shared" si="45"/>
        <v xml:space="preserve"> </v>
      </c>
      <c r="U70" s="405"/>
      <c r="V70" s="405"/>
      <c r="W70" s="405"/>
      <c r="X70" s="405"/>
      <c r="Y70" s="405"/>
      <c r="Z70" s="405"/>
      <c r="AA70" s="405"/>
      <c r="AB70" s="405"/>
      <c r="AC70" s="389" t="e">
        <f t="shared" si="19"/>
        <v>#N/A</v>
      </c>
      <c r="AD70" s="390">
        <f t="shared" si="20"/>
        <v>0</v>
      </c>
      <c r="AE70" s="390">
        <f t="shared" si="21"/>
        <v>0</v>
      </c>
      <c r="AF70" s="391">
        <f t="shared" si="22"/>
        <v>0</v>
      </c>
      <c r="AG70" s="392">
        <f t="shared" si="23"/>
        <v>0</v>
      </c>
      <c r="AH70" s="392">
        <f t="shared" si="24"/>
        <v>0</v>
      </c>
      <c r="AI70" s="392">
        <f t="shared" si="25"/>
        <v>0</v>
      </c>
      <c r="AJ70" s="393">
        <f t="shared" si="26"/>
        <v>0</v>
      </c>
      <c r="AK70" s="391">
        <f t="shared" si="27"/>
        <v>0</v>
      </c>
      <c r="AL70" s="391">
        <f t="shared" si="28"/>
        <v>0</v>
      </c>
      <c r="AM70" s="391">
        <f t="shared" si="29"/>
        <v>0</v>
      </c>
      <c r="AN70" s="391">
        <f t="shared" si="30"/>
        <v>0</v>
      </c>
      <c r="AO70" s="403">
        <f t="shared" si="31"/>
        <v>0</v>
      </c>
      <c r="AP70" s="405"/>
      <c r="AQ70" s="390" t="e">
        <f t="shared" si="32"/>
        <v>#N/A</v>
      </c>
      <c r="AR70" s="408">
        <f t="shared" si="33"/>
        <v>0</v>
      </c>
      <c r="AS70" s="409" t="str">
        <f t="shared" si="47"/>
        <v/>
      </c>
      <c r="AT70" s="416"/>
    </row>
    <row r="71" spans="1:46" ht="15" x14ac:dyDescent="0.25">
      <c r="A71" s="592">
        <v>68</v>
      </c>
      <c r="B71" s="604"/>
      <c r="C71" s="302"/>
      <c r="D71" s="304"/>
      <c r="E71" s="306"/>
      <c r="F71" s="698"/>
      <c r="G71" s="304"/>
      <c r="H71" s="304"/>
      <c r="I71" s="304"/>
      <c r="J71" s="304"/>
      <c r="K71" s="307"/>
      <c r="L71" s="590" t="str">
        <f t="shared" si="46"/>
        <v/>
      </c>
      <c r="M71" s="416"/>
      <c r="N71" s="405"/>
      <c r="O71" s="468" t="str">
        <f t="shared" si="40"/>
        <v xml:space="preserve"> </v>
      </c>
      <c r="P71" s="468" t="str">
        <f t="shared" si="41"/>
        <v xml:space="preserve"> </v>
      </c>
      <c r="Q71" s="468" t="str">
        <f t="shared" si="42"/>
        <v xml:space="preserve"> </v>
      </c>
      <c r="R71" s="468" t="str">
        <f t="shared" si="43"/>
        <v xml:space="preserve"> </v>
      </c>
      <c r="S71" s="468" t="str">
        <f t="shared" si="44"/>
        <v xml:space="preserve"> </v>
      </c>
      <c r="T71" s="468" t="str">
        <f t="shared" si="45"/>
        <v xml:space="preserve"> </v>
      </c>
      <c r="U71" s="405"/>
      <c r="V71" s="405"/>
      <c r="W71" s="405"/>
      <c r="X71" s="405"/>
      <c r="Y71" s="405"/>
      <c r="Z71" s="405"/>
      <c r="AA71" s="405"/>
      <c r="AB71" s="405"/>
      <c r="AC71" s="389" t="e">
        <f t="shared" si="19"/>
        <v>#N/A</v>
      </c>
      <c r="AD71" s="390">
        <f t="shared" si="20"/>
        <v>0</v>
      </c>
      <c r="AE71" s="390">
        <f t="shared" si="21"/>
        <v>0</v>
      </c>
      <c r="AF71" s="391">
        <f t="shared" si="22"/>
        <v>0</v>
      </c>
      <c r="AG71" s="392">
        <f t="shared" si="23"/>
        <v>0</v>
      </c>
      <c r="AH71" s="392">
        <f t="shared" si="24"/>
        <v>0</v>
      </c>
      <c r="AI71" s="392">
        <f t="shared" si="25"/>
        <v>0</v>
      </c>
      <c r="AJ71" s="393">
        <f t="shared" si="26"/>
        <v>0</v>
      </c>
      <c r="AK71" s="391">
        <f t="shared" si="27"/>
        <v>0</v>
      </c>
      <c r="AL71" s="391">
        <f t="shared" si="28"/>
        <v>0</v>
      </c>
      <c r="AM71" s="391">
        <f t="shared" si="29"/>
        <v>0</v>
      </c>
      <c r="AN71" s="391">
        <f t="shared" si="30"/>
        <v>0</v>
      </c>
      <c r="AO71" s="403">
        <f t="shared" si="31"/>
        <v>0</v>
      </c>
      <c r="AP71" s="405"/>
      <c r="AQ71" s="390" t="e">
        <f t="shared" si="32"/>
        <v>#N/A</v>
      </c>
      <c r="AR71" s="408">
        <f t="shared" si="33"/>
        <v>0</v>
      </c>
      <c r="AS71" s="409" t="str">
        <f t="shared" si="47"/>
        <v/>
      </c>
      <c r="AT71" s="416"/>
    </row>
    <row r="72" spans="1:46" ht="15" x14ac:dyDescent="0.25">
      <c r="A72" s="592">
        <v>69</v>
      </c>
      <c r="B72" s="604"/>
      <c r="C72" s="302"/>
      <c r="D72" s="304"/>
      <c r="E72" s="306"/>
      <c r="F72" s="698"/>
      <c r="G72" s="304"/>
      <c r="H72" s="304"/>
      <c r="I72" s="304"/>
      <c r="J72" s="304"/>
      <c r="K72" s="307"/>
      <c r="L72" s="590" t="str">
        <f t="shared" si="46"/>
        <v/>
      </c>
      <c r="M72" s="416"/>
      <c r="N72" s="405"/>
      <c r="O72" s="468" t="str">
        <f t="shared" si="40"/>
        <v xml:space="preserve"> </v>
      </c>
      <c r="P72" s="468" t="str">
        <f t="shared" si="41"/>
        <v xml:space="preserve"> </v>
      </c>
      <c r="Q72" s="468" t="str">
        <f t="shared" si="42"/>
        <v xml:space="preserve"> </v>
      </c>
      <c r="R72" s="468" t="str">
        <f t="shared" si="43"/>
        <v xml:space="preserve"> </v>
      </c>
      <c r="S72" s="468" t="str">
        <f t="shared" si="44"/>
        <v xml:space="preserve"> </v>
      </c>
      <c r="T72" s="468" t="str">
        <f t="shared" si="45"/>
        <v xml:space="preserve"> </v>
      </c>
      <c r="U72" s="405"/>
      <c r="V72" s="405"/>
      <c r="W72" s="405"/>
      <c r="X72" s="405"/>
      <c r="Y72" s="405"/>
      <c r="Z72" s="405"/>
      <c r="AA72" s="405"/>
      <c r="AB72" s="405"/>
      <c r="AC72" s="389" t="e">
        <f t="shared" si="19"/>
        <v>#N/A</v>
      </c>
      <c r="AD72" s="390">
        <f t="shared" si="20"/>
        <v>0</v>
      </c>
      <c r="AE72" s="390">
        <f t="shared" si="21"/>
        <v>0</v>
      </c>
      <c r="AF72" s="391">
        <f t="shared" si="22"/>
        <v>0</v>
      </c>
      <c r="AG72" s="392">
        <f t="shared" si="23"/>
        <v>0</v>
      </c>
      <c r="AH72" s="392">
        <f t="shared" si="24"/>
        <v>0</v>
      </c>
      <c r="AI72" s="392">
        <f t="shared" si="25"/>
        <v>0</v>
      </c>
      <c r="AJ72" s="393">
        <f t="shared" si="26"/>
        <v>0</v>
      </c>
      <c r="AK72" s="391">
        <f t="shared" si="27"/>
        <v>0</v>
      </c>
      <c r="AL72" s="391">
        <f t="shared" si="28"/>
        <v>0</v>
      </c>
      <c r="AM72" s="391">
        <f t="shared" si="29"/>
        <v>0</v>
      </c>
      <c r="AN72" s="391">
        <f t="shared" si="30"/>
        <v>0</v>
      </c>
      <c r="AO72" s="403">
        <f t="shared" si="31"/>
        <v>0</v>
      </c>
      <c r="AP72" s="405"/>
      <c r="AQ72" s="390" t="e">
        <f t="shared" si="32"/>
        <v>#N/A</v>
      </c>
      <c r="AR72" s="408">
        <f t="shared" si="33"/>
        <v>0</v>
      </c>
      <c r="AS72" s="409" t="str">
        <f t="shared" si="47"/>
        <v/>
      </c>
      <c r="AT72" s="416"/>
    </row>
    <row r="73" spans="1:46" ht="15" x14ac:dyDescent="0.25">
      <c r="A73" s="592">
        <v>70</v>
      </c>
      <c r="B73" s="604"/>
      <c r="C73" s="302"/>
      <c r="D73" s="304"/>
      <c r="E73" s="306"/>
      <c r="F73" s="698"/>
      <c r="G73" s="304"/>
      <c r="H73" s="304"/>
      <c r="I73" s="304"/>
      <c r="J73" s="304"/>
      <c r="K73" s="307"/>
      <c r="L73" s="590" t="str">
        <f t="shared" si="46"/>
        <v/>
      </c>
      <c r="M73" s="416"/>
      <c r="N73" s="405"/>
      <c r="O73" s="468" t="str">
        <f t="shared" si="40"/>
        <v xml:space="preserve"> </v>
      </c>
      <c r="P73" s="468" t="str">
        <f t="shared" si="41"/>
        <v xml:space="preserve"> </v>
      </c>
      <c r="Q73" s="468" t="str">
        <f t="shared" si="42"/>
        <v xml:space="preserve"> </v>
      </c>
      <c r="R73" s="468" t="str">
        <f t="shared" si="43"/>
        <v xml:space="preserve"> </v>
      </c>
      <c r="S73" s="468" t="str">
        <f t="shared" si="44"/>
        <v xml:space="preserve"> </v>
      </c>
      <c r="T73" s="468" t="str">
        <f t="shared" si="45"/>
        <v xml:space="preserve"> </v>
      </c>
      <c r="U73" s="405"/>
      <c r="V73" s="405"/>
      <c r="W73" s="405"/>
      <c r="X73" s="405"/>
      <c r="Y73" s="405"/>
      <c r="Z73" s="405"/>
      <c r="AA73" s="405"/>
      <c r="AB73" s="405"/>
      <c r="AC73" s="389" t="e">
        <f t="shared" si="19"/>
        <v>#N/A</v>
      </c>
      <c r="AD73" s="390">
        <f t="shared" si="20"/>
        <v>0</v>
      </c>
      <c r="AE73" s="390">
        <f t="shared" si="21"/>
        <v>0</v>
      </c>
      <c r="AF73" s="391">
        <f t="shared" si="22"/>
        <v>0</v>
      </c>
      <c r="AG73" s="392">
        <f t="shared" si="23"/>
        <v>0</v>
      </c>
      <c r="AH73" s="392">
        <f t="shared" si="24"/>
        <v>0</v>
      </c>
      <c r="AI73" s="392">
        <f t="shared" si="25"/>
        <v>0</v>
      </c>
      <c r="AJ73" s="393">
        <f t="shared" si="26"/>
        <v>0</v>
      </c>
      <c r="AK73" s="391">
        <f t="shared" si="27"/>
        <v>0</v>
      </c>
      <c r="AL73" s="391">
        <f t="shared" si="28"/>
        <v>0</v>
      </c>
      <c r="AM73" s="391">
        <f t="shared" si="29"/>
        <v>0</v>
      </c>
      <c r="AN73" s="391">
        <f t="shared" si="30"/>
        <v>0</v>
      </c>
      <c r="AO73" s="403">
        <f t="shared" si="31"/>
        <v>0</v>
      </c>
      <c r="AP73" s="405"/>
      <c r="AQ73" s="390" t="e">
        <f t="shared" si="32"/>
        <v>#N/A</v>
      </c>
      <c r="AR73" s="408">
        <f t="shared" si="33"/>
        <v>0</v>
      </c>
      <c r="AS73" s="409" t="str">
        <f t="shared" si="47"/>
        <v/>
      </c>
      <c r="AT73" s="416"/>
    </row>
    <row r="74" spans="1:46" ht="15" x14ac:dyDescent="0.25">
      <c r="A74" s="592">
        <v>71</v>
      </c>
      <c r="B74" s="604"/>
      <c r="C74" s="302"/>
      <c r="D74" s="304"/>
      <c r="E74" s="306"/>
      <c r="F74" s="698"/>
      <c r="G74" s="304"/>
      <c r="H74" s="304"/>
      <c r="I74" s="304"/>
      <c r="J74" s="304"/>
      <c r="K74" s="307"/>
      <c r="L74" s="590" t="str">
        <f t="shared" si="46"/>
        <v/>
      </c>
      <c r="M74" s="416"/>
      <c r="N74" s="405"/>
      <c r="O74" s="468" t="str">
        <f t="shared" si="40"/>
        <v xml:space="preserve"> </v>
      </c>
      <c r="P74" s="468" t="str">
        <f t="shared" si="41"/>
        <v xml:space="preserve"> </v>
      </c>
      <c r="Q74" s="468" t="str">
        <f t="shared" si="42"/>
        <v xml:space="preserve"> </v>
      </c>
      <c r="R74" s="468" t="str">
        <f t="shared" si="43"/>
        <v xml:space="preserve"> </v>
      </c>
      <c r="S74" s="468" t="str">
        <f t="shared" si="44"/>
        <v xml:space="preserve"> </v>
      </c>
      <c r="T74" s="468" t="str">
        <f t="shared" si="45"/>
        <v xml:space="preserve"> </v>
      </c>
      <c r="U74" s="405"/>
      <c r="V74" s="405"/>
      <c r="W74" s="405"/>
      <c r="X74" s="405"/>
      <c r="Y74" s="405"/>
      <c r="Z74" s="405"/>
      <c r="AA74" s="405"/>
      <c r="AB74" s="405"/>
      <c r="AC74" s="389" t="e">
        <f t="shared" si="19"/>
        <v>#N/A</v>
      </c>
      <c r="AD74" s="390">
        <f t="shared" si="20"/>
        <v>0</v>
      </c>
      <c r="AE74" s="390">
        <f t="shared" si="21"/>
        <v>0</v>
      </c>
      <c r="AF74" s="391">
        <f t="shared" si="22"/>
        <v>0</v>
      </c>
      <c r="AG74" s="392">
        <f t="shared" si="23"/>
        <v>0</v>
      </c>
      <c r="AH74" s="392">
        <f t="shared" si="24"/>
        <v>0</v>
      </c>
      <c r="AI74" s="392">
        <f t="shared" si="25"/>
        <v>0</v>
      </c>
      <c r="AJ74" s="393">
        <f t="shared" si="26"/>
        <v>0</v>
      </c>
      <c r="AK74" s="391">
        <f t="shared" si="27"/>
        <v>0</v>
      </c>
      <c r="AL74" s="391">
        <f t="shared" si="28"/>
        <v>0</v>
      </c>
      <c r="AM74" s="391">
        <f t="shared" si="29"/>
        <v>0</v>
      </c>
      <c r="AN74" s="391">
        <f t="shared" si="30"/>
        <v>0</v>
      </c>
      <c r="AO74" s="403">
        <f t="shared" si="31"/>
        <v>0</v>
      </c>
      <c r="AP74" s="405"/>
      <c r="AQ74" s="390" t="e">
        <f t="shared" si="32"/>
        <v>#N/A</v>
      </c>
      <c r="AR74" s="408">
        <f t="shared" si="33"/>
        <v>0</v>
      </c>
      <c r="AS74" s="409" t="str">
        <f t="shared" si="47"/>
        <v/>
      </c>
      <c r="AT74" s="416"/>
    </row>
    <row r="75" spans="1:46" ht="15" x14ac:dyDescent="0.25">
      <c r="A75" s="592">
        <v>72</v>
      </c>
      <c r="B75" s="604"/>
      <c r="C75" s="302"/>
      <c r="D75" s="304"/>
      <c r="E75" s="306"/>
      <c r="F75" s="698"/>
      <c r="G75" s="304"/>
      <c r="H75" s="304"/>
      <c r="I75" s="304"/>
      <c r="J75" s="304"/>
      <c r="K75" s="307"/>
      <c r="L75" s="590" t="str">
        <f t="shared" si="46"/>
        <v/>
      </c>
      <c r="M75" s="416"/>
      <c r="N75" s="405"/>
      <c r="O75" s="468" t="str">
        <f t="shared" si="40"/>
        <v xml:space="preserve"> </v>
      </c>
      <c r="P75" s="468" t="str">
        <f t="shared" si="41"/>
        <v xml:space="preserve"> </v>
      </c>
      <c r="Q75" s="468" t="str">
        <f t="shared" si="42"/>
        <v xml:space="preserve"> </v>
      </c>
      <c r="R75" s="468" t="str">
        <f t="shared" si="43"/>
        <v xml:space="preserve"> </v>
      </c>
      <c r="S75" s="468" t="str">
        <f t="shared" si="44"/>
        <v xml:space="preserve"> </v>
      </c>
      <c r="T75" s="468" t="str">
        <f t="shared" si="45"/>
        <v xml:space="preserve"> </v>
      </c>
      <c r="U75" s="405"/>
      <c r="V75" s="405"/>
      <c r="W75" s="405"/>
      <c r="X75" s="405"/>
      <c r="Y75" s="405"/>
      <c r="Z75" s="405"/>
      <c r="AA75" s="405"/>
      <c r="AB75" s="405"/>
      <c r="AC75" s="389" t="e">
        <f t="shared" si="19"/>
        <v>#N/A</v>
      </c>
      <c r="AD75" s="390">
        <f t="shared" si="20"/>
        <v>0</v>
      </c>
      <c r="AE75" s="390">
        <f t="shared" si="21"/>
        <v>0</v>
      </c>
      <c r="AF75" s="391">
        <f t="shared" si="22"/>
        <v>0</v>
      </c>
      <c r="AG75" s="392">
        <f t="shared" si="23"/>
        <v>0</v>
      </c>
      <c r="AH75" s="392">
        <f t="shared" si="24"/>
        <v>0</v>
      </c>
      <c r="AI75" s="392">
        <f t="shared" si="25"/>
        <v>0</v>
      </c>
      <c r="AJ75" s="393">
        <f t="shared" si="26"/>
        <v>0</v>
      </c>
      <c r="AK75" s="391">
        <f t="shared" si="27"/>
        <v>0</v>
      </c>
      <c r="AL75" s="391">
        <f t="shared" si="28"/>
        <v>0</v>
      </c>
      <c r="AM75" s="391">
        <f t="shared" si="29"/>
        <v>0</v>
      </c>
      <c r="AN75" s="391">
        <f t="shared" si="30"/>
        <v>0</v>
      </c>
      <c r="AO75" s="403">
        <f t="shared" si="31"/>
        <v>0</v>
      </c>
      <c r="AP75" s="405"/>
      <c r="AQ75" s="390" t="e">
        <f t="shared" si="32"/>
        <v>#N/A</v>
      </c>
      <c r="AR75" s="408">
        <f t="shared" si="33"/>
        <v>0</v>
      </c>
      <c r="AS75" s="409" t="str">
        <f t="shared" si="47"/>
        <v/>
      </c>
      <c r="AT75" s="416"/>
    </row>
    <row r="76" spans="1:46" ht="15" x14ac:dyDescent="0.25">
      <c r="A76" s="592">
        <v>73</v>
      </c>
      <c r="B76" s="604"/>
      <c r="C76" s="302"/>
      <c r="D76" s="304"/>
      <c r="E76" s="306"/>
      <c r="F76" s="698"/>
      <c r="G76" s="304"/>
      <c r="H76" s="304"/>
      <c r="I76" s="304"/>
      <c r="J76" s="304"/>
      <c r="K76" s="307"/>
      <c r="L76" s="590" t="str">
        <f t="shared" si="46"/>
        <v/>
      </c>
      <c r="M76" s="416"/>
      <c r="N76" s="405"/>
      <c r="O76" s="468" t="str">
        <f t="shared" si="40"/>
        <v xml:space="preserve"> </v>
      </c>
      <c r="P76" s="468" t="str">
        <f t="shared" si="41"/>
        <v xml:space="preserve"> </v>
      </c>
      <c r="Q76" s="468" t="str">
        <f t="shared" si="42"/>
        <v xml:space="preserve"> </v>
      </c>
      <c r="R76" s="468" t="str">
        <f t="shared" si="43"/>
        <v xml:space="preserve"> </v>
      </c>
      <c r="S76" s="468" t="str">
        <f t="shared" si="44"/>
        <v xml:space="preserve"> </v>
      </c>
      <c r="T76" s="468" t="str">
        <f t="shared" si="45"/>
        <v xml:space="preserve"> </v>
      </c>
      <c r="U76" s="405"/>
      <c r="V76" s="405"/>
      <c r="W76" s="405"/>
      <c r="X76" s="405"/>
      <c r="Y76" s="405"/>
      <c r="Z76" s="405"/>
      <c r="AA76" s="405"/>
      <c r="AB76" s="405"/>
      <c r="AC76" s="389" t="e">
        <f t="shared" si="19"/>
        <v>#N/A</v>
      </c>
      <c r="AD76" s="390">
        <f t="shared" si="20"/>
        <v>0</v>
      </c>
      <c r="AE76" s="390">
        <f t="shared" si="21"/>
        <v>0</v>
      </c>
      <c r="AF76" s="391">
        <f t="shared" si="22"/>
        <v>0</v>
      </c>
      <c r="AG76" s="392">
        <f t="shared" si="23"/>
        <v>0</v>
      </c>
      <c r="AH76" s="392">
        <f t="shared" si="24"/>
        <v>0</v>
      </c>
      <c r="AI76" s="392">
        <f t="shared" si="25"/>
        <v>0</v>
      </c>
      <c r="AJ76" s="393">
        <f t="shared" si="26"/>
        <v>0</v>
      </c>
      <c r="AK76" s="391">
        <f t="shared" si="27"/>
        <v>0</v>
      </c>
      <c r="AL76" s="391">
        <f t="shared" si="28"/>
        <v>0</v>
      </c>
      <c r="AM76" s="391">
        <f t="shared" si="29"/>
        <v>0</v>
      </c>
      <c r="AN76" s="391">
        <f t="shared" si="30"/>
        <v>0</v>
      </c>
      <c r="AO76" s="403">
        <f t="shared" si="31"/>
        <v>0</v>
      </c>
      <c r="AP76" s="405"/>
      <c r="AQ76" s="390" t="e">
        <f t="shared" si="32"/>
        <v>#N/A</v>
      </c>
      <c r="AR76" s="408">
        <f t="shared" si="33"/>
        <v>0</v>
      </c>
      <c r="AS76" s="409" t="str">
        <f t="shared" si="47"/>
        <v/>
      </c>
      <c r="AT76" s="416"/>
    </row>
    <row r="77" spans="1:46" ht="15" x14ac:dyDescent="0.25">
      <c r="A77" s="592">
        <v>74</v>
      </c>
      <c r="B77" s="604"/>
      <c r="C77" s="302"/>
      <c r="D77" s="304"/>
      <c r="E77" s="306"/>
      <c r="F77" s="698"/>
      <c r="G77" s="304"/>
      <c r="H77" s="304"/>
      <c r="I77" s="304"/>
      <c r="J77" s="304"/>
      <c r="K77" s="307"/>
      <c r="L77" s="590" t="str">
        <f t="shared" si="46"/>
        <v/>
      </c>
      <c r="M77" s="416"/>
      <c r="N77" s="405"/>
      <c r="O77" s="468" t="str">
        <f t="shared" si="40"/>
        <v xml:space="preserve"> </v>
      </c>
      <c r="P77" s="468" t="str">
        <f t="shared" si="41"/>
        <v xml:space="preserve"> </v>
      </c>
      <c r="Q77" s="468" t="str">
        <f t="shared" si="42"/>
        <v xml:space="preserve"> </v>
      </c>
      <c r="R77" s="468" t="str">
        <f t="shared" si="43"/>
        <v xml:space="preserve"> </v>
      </c>
      <c r="S77" s="468" t="str">
        <f t="shared" si="44"/>
        <v xml:space="preserve"> </v>
      </c>
      <c r="T77" s="468" t="str">
        <f t="shared" si="45"/>
        <v xml:space="preserve"> </v>
      </c>
      <c r="U77" s="405"/>
      <c r="V77" s="405"/>
      <c r="W77" s="405"/>
      <c r="X77" s="405"/>
      <c r="Y77" s="405"/>
      <c r="Z77" s="405"/>
      <c r="AA77" s="405"/>
      <c r="AB77" s="405"/>
      <c r="AC77" s="389" t="e">
        <f t="shared" si="19"/>
        <v>#N/A</v>
      </c>
      <c r="AD77" s="390">
        <f t="shared" si="20"/>
        <v>0</v>
      </c>
      <c r="AE77" s="390">
        <f t="shared" si="21"/>
        <v>0</v>
      </c>
      <c r="AF77" s="391">
        <f t="shared" si="22"/>
        <v>0</v>
      </c>
      <c r="AG77" s="392">
        <f t="shared" si="23"/>
        <v>0</v>
      </c>
      <c r="AH77" s="392">
        <f t="shared" si="24"/>
        <v>0</v>
      </c>
      <c r="AI77" s="392">
        <f t="shared" si="25"/>
        <v>0</v>
      </c>
      <c r="AJ77" s="393">
        <f t="shared" si="26"/>
        <v>0</v>
      </c>
      <c r="AK77" s="391">
        <f t="shared" si="27"/>
        <v>0</v>
      </c>
      <c r="AL77" s="391">
        <f t="shared" si="28"/>
        <v>0</v>
      </c>
      <c r="AM77" s="391">
        <f t="shared" si="29"/>
        <v>0</v>
      </c>
      <c r="AN77" s="391">
        <f t="shared" si="30"/>
        <v>0</v>
      </c>
      <c r="AO77" s="403">
        <f t="shared" si="31"/>
        <v>0</v>
      </c>
      <c r="AP77" s="405"/>
      <c r="AQ77" s="390" t="e">
        <f t="shared" si="32"/>
        <v>#N/A</v>
      </c>
      <c r="AR77" s="408">
        <f t="shared" si="33"/>
        <v>0</v>
      </c>
      <c r="AS77" s="409" t="str">
        <f t="shared" si="47"/>
        <v/>
      </c>
      <c r="AT77" s="416"/>
    </row>
    <row r="78" spans="1:46" ht="15" x14ac:dyDescent="0.25">
      <c r="A78" s="592">
        <v>75</v>
      </c>
      <c r="B78" s="604"/>
      <c r="C78" s="302"/>
      <c r="D78" s="304"/>
      <c r="E78" s="306"/>
      <c r="F78" s="698"/>
      <c r="G78" s="304"/>
      <c r="H78" s="304"/>
      <c r="I78" s="304"/>
      <c r="J78" s="304"/>
      <c r="K78" s="307"/>
      <c r="L78" s="590" t="str">
        <f t="shared" si="46"/>
        <v/>
      </c>
      <c r="M78" s="416"/>
      <c r="N78" s="405"/>
      <c r="O78" s="468" t="str">
        <f t="shared" si="40"/>
        <v xml:space="preserve"> </v>
      </c>
      <c r="P78" s="468" t="str">
        <f t="shared" si="41"/>
        <v xml:space="preserve"> </v>
      </c>
      <c r="Q78" s="468" t="str">
        <f t="shared" si="42"/>
        <v xml:space="preserve"> </v>
      </c>
      <c r="R78" s="468" t="str">
        <f t="shared" si="43"/>
        <v xml:space="preserve"> </v>
      </c>
      <c r="S78" s="468" t="str">
        <f t="shared" si="44"/>
        <v xml:space="preserve"> </v>
      </c>
      <c r="T78" s="468" t="str">
        <f t="shared" si="45"/>
        <v xml:space="preserve"> </v>
      </c>
      <c r="U78" s="405"/>
      <c r="V78" s="405"/>
      <c r="W78" s="405"/>
      <c r="X78" s="405"/>
      <c r="Y78" s="405"/>
      <c r="Z78" s="405"/>
      <c r="AA78" s="405"/>
      <c r="AB78" s="405"/>
      <c r="AC78" s="389" t="e">
        <f t="shared" si="19"/>
        <v>#N/A</v>
      </c>
      <c r="AD78" s="390">
        <f t="shared" si="20"/>
        <v>0</v>
      </c>
      <c r="AE78" s="390">
        <f t="shared" si="21"/>
        <v>0</v>
      </c>
      <c r="AF78" s="391">
        <f t="shared" si="22"/>
        <v>0</v>
      </c>
      <c r="AG78" s="392">
        <f t="shared" si="23"/>
        <v>0</v>
      </c>
      <c r="AH78" s="392">
        <f t="shared" si="24"/>
        <v>0</v>
      </c>
      <c r="AI78" s="392">
        <f t="shared" si="25"/>
        <v>0</v>
      </c>
      <c r="AJ78" s="393">
        <f t="shared" si="26"/>
        <v>0</v>
      </c>
      <c r="AK78" s="391">
        <f t="shared" si="27"/>
        <v>0</v>
      </c>
      <c r="AL78" s="391">
        <f t="shared" si="28"/>
        <v>0</v>
      </c>
      <c r="AM78" s="391">
        <f t="shared" si="29"/>
        <v>0</v>
      </c>
      <c r="AN78" s="391">
        <f t="shared" si="30"/>
        <v>0</v>
      </c>
      <c r="AO78" s="403">
        <f t="shared" si="31"/>
        <v>0</v>
      </c>
      <c r="AP78" s="405"/>
      <c r="AQ78" s="390" t="e">
        <f t="shared" si="32"/>
        <v>#N/A</v>
      </c>
      <c r="AR78" s="408">
        <f t="shared" si="33"/>
        <v>0</v>
      </c>
      <c r="AS78" s="409" t="str">
        <f t="shared" si="47"/>
        <v/>
      </c>
      <c r="AT78" s="416"/>
    </row>
    <row r="79" spans="1:46" ht="15" x14ac:dyDescent="0.25">
      <c r="A79" s="592">
        <v>76</v>
      </c>
      <c r="B79" s="604"/>
      <c r="C79" s="302"/>
      <c r="D79" s="304"/>
      <c r="E79" s="306"/>
      <c r="F79" s="698"/>
      <c r="G79" s="304"/>
      <c r="H79" s="304"/>
      <c r="I79" s="304"/>
      <c r="J79" s="304"/>
      <c r="K79" s="307"/>
      <c r="L79" s="590" t="str">
        <f t="shared" si="46"/>
        <v/>
      </c>
      <c r="M79" s="416"/>
      <c r="N79" s="405"/>
      <c r="O79" s="468" t="str">
        <f t="shared" si="40"/>
        <v xml:space="preserve"> </v>
      </c>
      <c r="P79" s="468" t="str">
        <f t="shared" si="41"/>
        <v xml:space="preserve"> </v>
      </c>
      <c r="Q79" s="468" t="str">
        <f t="shared" si="42"/>
        <v xml:space="preserve"> </v>
      </c>
      <c r="R79" s="468" t="str">
        <f t="shared" si="43"/>
        <v xml:space="preserve"> </v>
      </c>
      <c r="S79" s="468" t="str">
        <f t="shared" si="44"/>
        <v xml:space="preserve"> </v>
      </c>
      <c r="T79" s="468" t="str">
        <f t="shared" si="45"/>
        <v xml:space="preserve"> </v>
      </c>
      <c r="U79" s="405"/>
      <c r="V79" s="405"/>
      <c r="W79" s="405"/>
      <c r="X79" s="405"/>
      <c r="Y79" s="405"/>
      <c r="Z79" s="405"/>
      <c r="AA79" s="405"/>
      <c r="AB79" s="405"/>
      <c r="AC79" s="389" t="e">
        <f t="shared" si="19"/>
        <v>#N/A</v>
      </c>
      <c r="AD79" s="390">
        <f t="shared" si="20"/>
        <v>0</v>
      </c>
      <c r="AE79" s="390">
        <f t="shared" si="21"/>
        <v>0</v>
      </c>
      <c r="AF79" s="391">
        <f t="shared" si="22"/>
        <v>0</v>
      </c>
      <c r="AG79" s="392">
        <f t="shared" si="23"/>
        <v>0</v>
      </c>
      <c r="AH79" s="392">
        <f t="shared" si="24"/>
        <v>0</v>
      </c>
      <c r="AI79" s="392">
        <f t="shared" si="25"/>
        <v>0</v>
      </c>
      <c r="AJ79" s="393">
        <f t="shared" si="26"/>
        <v>0</v>
      </c>
      <c r="AK79" s="391">
        <f t="shared" si="27"/>
        <v>0</v>
      </c>
      <c r="AL79" s="391">
        <f t="shared" si="28"/>
        <v>0</v>
      </c>
      <c r="AM79" s="391">
        <f t="shared" si="29"/>
        <v>0</v>
      </c>
      <c r="AN79" s="391">
        <f t="shared" si="30"/>
        <v>0</v>
      </c>
      <c r="AO79" s="403">
        <f t="shared" si="31"/>
        <v>0</v>
      </c>
      <c r="AP79" s="405"/>
      <c r="AQ79" s="390" t="e">
        <f t="shared" si="32"/>
        <v>#N/A</v>
      </c>
      <c r="AR79" s="408">
        <f t="shared" si="33"/>
        <v>0</v>
      </c>
      <c r="AS79" s="409" t="str">
        <f t="shared" si="47"/>
        <v/>
      </c>
      <c r="AT79" s="416"/>
    </row>
    <row r="80" spans="1:46" ht="15" x14ac:dyDescent="0.25">
      <c r="A80" s="592">
        <v>77</v>
      </c>
      <c r="B80" s="604"/>
      <c r="C80" s="302"/>
      <c r="D80" s="304"/>
      <c r="E80" s="306"/>
      <c r="F80" s="698"/>
      <c r="G80" s="304"/>
      <c r="H80" s="304"/>
      <c r="I80" s="304"/>
      <c r="J80" s="304"/>
      <c r="K80" s="307"/>
      <c r="L80" s="590" t="str">
        <f t="shared" si="46"/>
        <v/>
      </c>
      <c r="M80" s="416"/>
      <c r="N80" s="405"/>
      <c r="O80" s="468" t="str">
        <f t="shared" si="40"/>
        <v xml:space="preserve"> </v>
      </c>
      <c r="P80" s="468" t="str">
        <f t="shared" si="41"/>
        <v xml:space="preserve"> </v>
      </c>
      <c r="Q80" s="468" t="str">
        <f t="shared" si="42"/>
        <v xml:space="preserve"> </v>
      </c>
      <c r="R80" s="468" t="str">
        <f t="shared" si="43"/>
        <v xml:space="preserve"> </v>
      </c>
      <c r="S80" s="468" t="str">
        <f t="shared" si="44"/>
        <v xml:space="preserve"> </v>
      </c>
      <c r="T80" s="468" t="str">
        <f t="shared" si="45"/>
        <v xml:space="preserve"> </v>
      </c>
      <c r="U80" s="405"/>
      <c r="V80" s="405"/>
      <c r="W80" s="405"/>
      <c r="X80" s="405"/>
      <c r="Y80" s="405"/>
      <c r="Z80" s="405"/>
      <c r="AA80" s="405"/>
      <c r="AB80" s="405"/>
      <c r="AC80" s="389" t="e">
        <f t="shared" si="19"/>
        <v>#N/A</v>
      </c>
      <c r="AD80" s="390">
        <f t="shared" si="20"/>
        <v>0</v>
      </c>
      <c r="AE80" s="390">
        <f t="shared" si="21"/>
        <v>0</v>
      </c>
      <c r="AF80" s="391">
        <f t="shared" si="22"/>
        <v>0</v>
      </c>
      <c r="AG80" s="392">
        <f t="shared" si="23"/>
        <v>0</v>
      </c>
      <c r="AH80" s="392">
        <f t="shared" si="24"/>
        <v>0</v>
      </c>
      <c r="AI80" s="392">
        <f t="shared" si="25"/>
        <v>0</v>
      </c>
      <c r="AJ80" s="393">
        <f t="shared" si="26"/>
        <v>0</v>
      </c>
      <c r="AK80" s="391">
        <f t="shared" si="27"/>
        <v>0</v>
      </c>
      <c r="AL80" s="391">
        <f t="shared" si="28"/>
        <v>0</v>
      </c>
      <c r="AM80" s="391">
        <f t="shared" si="29"/>
        <v>0</v>
      </c>
      <c r="AN80" s="391">
        <f t="shared" si="30"/>
        <v>0</v>
      </c>
      <c r="AO80" s="403">
        <f t="shared" si="31"/>
        <v>0</v>
      </c>
      <c r="AP80" s="405"/>
      <c r="AQ80" s="390" t="e">
        <f t="shared" si="32"/>
        <v>#N/A</v>
      </c>
      <c r="AR80" s="408">
        <f t="shared" si="33"/>
        <v>0</v>
      </c>
      <c r="AS80" s="409" t="str">
        <f t="shared" si="47"/>
        <v/>
      </c>
      <c r="AT80" s="416"/>
    </row>
    <row r="81" spans="1:46" ht="15" x14ac:dyDescent="0.25">
      <c r="A81" s="592">
        <v>78</v>
      </c>
      <c r="B81" s="604"/>
      <c r="C81" s="302"/>
      <c r="D81" s="304"/>
      <c r="E81" s="306"/>
      <c r="F81" s="698"/>
      <c r="G81" s="304"/>
      <c r="H81" s="304"/>
      <c r="I81" s="304"/>
      <c r="J81" s="304"/>
      <c r="K81" s="307"/>
      <c r="L81" s="590" t="str">
        <f t="shared" si="46"/>
        <v/>
      </c>
      <c r="M81" s="416"/>
      <c r="N81" s="405"/>
      <c r="O81" s="468" t="str">
        <f t="shared" si="40"/>
        <v xml:space="preserve"> </v>
      </c>
      <c r="P81" s="468" t="str">
        <f t="shared" si="41"/>
        <v xml:space="preserve"> </v>
      </c>
      <c r="Q81" s="468" t="str">
        <f t="shared" si="42"/>
        <v xml:space="preserve"> </v>
      </c>
      <c r="R81" s="468" t="str">
        <f t="shared" si="43"/>
        <v xml:space="preserve"> </v>
      </c>
      <c r="S81" s="468" t="str">
        <f t="shared" si="44"/>
        <v xml:space="preserve"> </v>
      </c>
      <c r="T81" s="468" t="str">
        <f t="shared" si="45"/>
        <v xml:space="preserve"> </v>
      </c>
      <c r="U81" s="405"/>
      <c r="V81" s="405"/>
      <c r="W81" s="405"/>
      <c r="X81" s="405"/>
      <c r="Y81" s="405"/>
      <c r="Z81" s="405"/>
      <c r="AA81" s="405"/>
      <c r="AB81" s="405"/>
      <c r="AC81" s="389" t="e">
        <f t="shared" ref="AC81:AC144" si="48">VLOOKUP($F81,$O$5:$P$10,2,0)</f>
        <v>#N/A</v>
      </c>
      <c r="AD81" s="390">
        <f t="shared" ref="AD81:AD144" si="49">IF(G81="Yes w/ Elec.Stove", VLOOKUP(AC81, $P$5:$Q$103, 2, FALSE), 0)</f>
        <v>0</v>
      </c>
      <c r="AE81" s="390">
        <f t="shared" ref="AE81:AE144" si="50">IF(G81="Yes, No Elec. Stove", VLOOKUP(AC81, $P$5:$R$103, 3, FALSE),0)</f>
        <v>0</v>
      </c>
      <c r="AF81" s="391">
        <f t="shared" ref="AF81:AF144" si="51">IF(H81="Yes ", VLOOKUP(AC81, $P$5:$S$103, 4, FALSE),0)</f>
        <v>0</v>
      </c>
      <c r="AG81" s="392">
        <f t="shared" ref="AG81:AG144" si="52">IF(I81="Oil", VLOOKUP(AC81, $P$5:$T$103, 5, FALSE), 0)</f>
        <v>0</v>
      </c>
      <c r="AH81" s="392">
        <f t="shared" ref="AH81:AH144" si="53">IF(I81="Gas", VLOOKUP(AC81, $P$5:$U$104, 6, FALSE), 0)</f>
        <v>0</v>
      </c>
      <c r="AI81" s="392">
        <f t="shared" ref="AI81:AI144" si="54">IF(I81="Electric - Other", VLOOKUP(AC81, $P$5:$V$104, 7, FALSE),0)</f>
        <v>0</v>
      </c>
      <c r="AJ81" s="393">
        <f t="shared" ref="AJ81:AJ144" si="55">IF(I81="Electric - Heat Pump", VLOOKUP(AC81, $P$5:$W$104, 8, FALSE),0)</f>
        <v>0</v>
      </c>
      <c r="AK81" s="391">
        <f t="shared" ref="AK81:AK144" si="56">IF(J81="Electric ccASHP - split", VLOOKUP(AC81, $P$5:$X$104, 9, FALSE),0)</f>
        <v>0</v>
      </c>
      <c r="AL81" s="391">
        <f t="shared" ref="AL81:AL144" si="57">IF(J81="Electric - Other", VLOOKUP(AC81, $P$5:$Y$104, 10, FALSE),0)</f>
        <v>0</v>
      </c>
      <c r="AM81" s="391">
        <f t="shared" ref="AM81:AM144" si="58">IF(J81="Oil ", VLOOKUP(AC81, $P$5:$Z$104, 11, FALSE),0)</f>
        <v>0</v>
      </c>
      <c r="AN81" s="391">
        <f t="shared" ref="AN81:AN144" si="59">IF(J81="Gas ",VLOOKUP(AC81,$P$5:$AA$104,12,FALSE),0)</f>
        <v>0</v>
      </c>
      <c r="AO81" s="403">
        <f t="shared" ref="AO81:AO144" si="60">K81</f>
        <v>0</v>
      </c>
      <c r="AP81" s="405"/>
      <c r="AQ81" s="390" t="e">
        <f t="shared" ref="AQ81:AQ144" si="61">AC81-AD81-AE81-AF81-AG81-AH81-AI81-AJ81-AK81-AL81-AM81-AN81-AO81</f>
        <v>#N/A</v>
      </c>
      <c r="AR81" s="408">
        <f t="shared" ref="AR81:AR144" si="62">E81</f>
        <v>0</v>
      </c>
      <c r="AS81" s="409" t="str">
        <f t="shared" si="47"/>
        <v/>
      </c>
      <c r="AT81" s="416"/>
    </row>
    <row r="82" spans="1:46" ht="15" x14ac:dyDescent="0.25">
      <c r="A82" s="592">
        <v>79</v>
      </c>
      <c r="B82" s="604"/>
      <c r="C82" s="302"/>
      <c r="D82" s="304"/>
      <c r="E82" s="306"/>
      <c r="F82" s="698"/>
      <c r="G82" s="304"/>
      <c r="H82" s="304"/>
      <c r="I82" s="304"/>
      <c r="J82" s="304"/>
      <c r="K82" s="307"/>
      <c r="L82" s="590" t="str">
        <f t="shared" si="46"/>
        <v/>
      </c>
      <c r="M82" s="416"/>
      <c r="N82" s="405"/>
      <c r="O82" s="468" t="str">
        <f t="shared" si="40"/>
        <v xml:space="preserve"> </v>
      </c>
      <c r="P82" s="468" t="str">
        <f t="shared" si="41"/>
        <v xml:space="preserve"> </v>
      </c>
      <c r="Q82" s="468" t="str">
        <f t="shared" si="42"/>
        <v xml:space="preserve"> </v>
      </c>
      <c r="R82" s="468" t="str">
        <f t="shared" si="43"/>
        <v xml:space="preserve"> </v>
      </c>
      <c r="S82" s="468" t="str">
        <f t="shared" si="44"/>
        <v xml:space="preserve"> </v>
      </c>
      <c r="T82" s="468" t="str">
        <f t="shared" si="45"/>
        <v xml:space="preserve"> </v>
      </c>
      <c r="U82" s="405"/>
      <c r="V82" s="405"/>
      <c r="W82" s="405"/>
      <c r="X82" s="405"/>
      <c r="Y82" s="405"/>
      <c r="Z82" s="405"/>
      <c r="AA82" s="405"/>
      <c r="AB82" s="405"/>
      <c r="AC82" s="389" t="e">
        <f t="shared" si="48"/>
        <v>#N/A</v>
      </c>
      <c r="AD82" s="390">
        <f t="shared" si="49"/>
        <v>0</v>
      </c>
      <c r="AE82" s="390">
        <f t="shared" si="50"/>
        <v>0</v>
      </c>
      <c r="AF82" s="391">
        <f t="shared" si="51"/>
        <v>0</v>
      </c>
      <c r="AG82" s="392">
        <f t="shared" si="52"/>
        <v>0</v>
      </c>
      <c r="AH82" s="392">
        <f t="shared" si="53"/>
        <v>0</v>
      </c>
      <c r="AI82" s="392">
        <f t="shared" si="54"/>
        <v>0</v>
      </c>
      <c r="AJ82" s="393">
        <f t="shared" si="55"/>
        <v>0</v>
      </c>
      <c r="AK82" s="391">
        <f t="shared" si="56"/>
        <v>0</v>
      </c>
      <c r="AL82" s="391">
        <f t="shared" si="57"/>
        <v>0</v>
      </c>
      <c r="AM82" s="391">
        <f t="shared" si="58"/>
        <v>0</v>
      </c>
      <c r="AN82" s="391">
        <f t="shared" si="59"/>
        <v>0</v>
      </c>
      <c r="AO82" s="403">
        <f t="shared" si="60"/>
        <v>0</v>
      </c>
      <c r="AP82" s="405"/>
      <c r="AQ82" s="390" t="e">
        <f t="shared" si="61"/>
        <v>#N/A</v>
      </c>
      <c r="AR82" s="408">
        <f t="shared" si="62"/>
        <v>0</v>
      </c>
      <c r="AS82" s="409" t="str">
        <f t="shared" si="47"/>
        <v/>
      </c>
      <c r="AT82" s="416"/>
    </row>
    <row r="83" spans="1:46" ht="15" x14ac:dyDescent="0.25">
      <c r="A83" s="592">
        <v>80</v>
      </c>
      <c r="B83" s="604"/>
      <c r="C83" s="302"/>
      <c r="D83" s="304"/>
      <c r="E83" s="306"/>
      <c r="F83" s="698"/>
      <c r="G83" s="304"/>
      <c r="H83" s="304"/>
      <c r="I83" s="304"/>
      <c r="J83" s="304"/>
      <c r="K83" s="307"/>
      <c r="L83" s="590" t="str">
        <f t="shared" si="46"/>
        <v/>
      </c>
      <c r="M83" s="416"/>
      <c r="N83" s="405"/>
      <c r="O83" s="468" t="str">
        <f t="shared" si="40"/>
        <v xml:space="preserve"> </v>
      </c>
      <c r="P83" s="468" t="str">
        <f t="shared" si="41"/>
        <v xml:space="preserve"> </v>
      </c>
      <c r="Q83" s="468" t="str">
        <f t="shared" si="42"/>
        <v xml:space="preserve"> </v>
      </c>
      <c r="R83" s="468" t="str">
        <f t="shared" si="43"/>
        <v xml:space="preserve"> </v>
      </c>
      <c r="S83" s="468" t="str">
        <f t="shared" si="44"/>
        <v xml:space="preserve"> </v>
      </c>
      <c r="T83" s="468" t="str">
        <f t="shared" si="45"/>
        <v xml:space="preserve"> </v>
      </c>
      <c r="U83" s="405"/>
      <c r="V83" s="405"/>
      <c r="W83" s="405"/>
      <c r="X83" s="405"/>
      <c r="Y83" s="405"/>
      <c r="Z83" s="405"/>
      <c r="AA83" s="405"/>
      <c r="AB83" s="405"/>
      <c r="AC83" s="389" t="e">
        <f t="shared" si="48"/>
        <v>#N/A</v>
      </c>
      <c r="AD83" s="390">
        <f t="shared" si="49"/>
        <v>0</v>
      </c>
      <c r="AE83" s="390">
        <f t="shared" si="50"/>
        <v>0</v>
      </c>
      <c r="AF83" s="391">
        <f t="shared" si="51"/>
        <v>0</v>
      </c>
      <c r="AG83" s="392">
        <f t="shared" si="52"/>
        <v>0</v>
      </c>
      <c r="AH83" s="392">
        <f t="shared" si="53"/>
        <v>0</v>
      </c>
      <c r="AI83" s="392">
        <f t="shared" si="54"/>
        <v>0</v>
      </c>
      <c r="AJ83" s="393">
        <f t="shared" si="55"/>
        <v>0</v>
      </c>
      <c r="AK83" s="391">
        <f t="shared" si="56"/>
        <v>0</v>
      </c>
      <c r="AL83" s="391">
        <f t="shared" si="57"/>
        <v>0</v>
      </c>
      <c r="AM83" s="391">
        <f t="shared" si="58"/>
        <v>0</v>
      </c>
      <c r="AN83" s="391">
        <f t="shared" si="59"/>
        <v>0</v>
      </c>
      <c r="AO83" s="403">
        <f t="shared" si="60"/>
        <v>0</v>
      </c>
      <c r="AP83" s="405"/>
      <c r="AQ83" s="390" t="e">
        <f t="shared" si="61"/>
        <v>#N/A</v>
      </c>
      <c r="AR83" s="408">
        <f t="shared" si="62"/>
        <v>0</v>
      </c>
      <c r="AS83" s="409" t="str">
        <f t="shared" si="47"/>
        <v/>
      </c>
      <c r="AT83" s="416"/>
    </row>
    <row r="84" spans="1:46" ht="15" x14ac:dyDescent="0.25">
      <c r="A84" s="592">
        <v>81</v>
      </c>
      <c r="B84" s="604"/>
      <c r="C84" s="302"/>
      <c r="D84" s="304"/>
      <c r="E84" s="306"/>
      <c r="F84" s="698"/>
      <c r="G84" s="304"/>
      <c r="H84" s="304"/>
      <c r="I84" s="304"/>
      <c r="J84" s="304"/>
      <c r="K84" s="307"/>
      <c r="L84" s="590" t="str">
        <f t="shared" si="46"/>
        <v/>
      </c>
      <c r="M84" s="416"/>
      <c r="N84" s="405"/>
      <c r="O84" s="468" t="str">
        <f t="shared" si="40"/>
        <v xml:space="preserve"> </v>
      </c>
      <c r="P84" s="468" t="str">
        <f t="shared" si="41"/>
        <v xml:space="preserve"> </v>
      </c>
      <c r="Q84" s="468" t="str">
        <f t="shared" si="42"/>
        <v xml:space="preserve"> </v>
      </c>
      <c r="R84" s="468" t="str">
        <f t="shared" si="43"/>
        <v xml:space="preserve"> </v>
      </c>
      <c r="S84" s="468" t="str">
        <f t="shared" si="44"/>
        <v xml:space="preserve"> </v>
      </c>
      <c r="T84" s="468" t="str">
        <f t="shared" si="45"/>
        <v xml:space="preserve"> </v>
      </c>
      <c r="U84" s="405"/>
      <c r="V84" s="405"/>
      <c r="W84" s="405"/>
      <c r="X84" s="405"/>
      <c r="Y84" s="405"/>
      <c r="Z84" s="405"/>
      <c r="AA84" s="405"/>
      <c r="AB84" s="405"/>
      <c r="AC84" s="389" t="e">
        <f t="shared" si="48"/>
        <v>#N/A</v>
      </c>
      <c r="AD84" s="390">
        <f t="shared" si="49"/>
        <v>0</v>
      </c>
      <c r="AE84" s="390">
        <f t="shared" si="50"/>
        <v>0</v>
      </c>
      <c r="AF84" s="391">
        <f t="shared" si="51"/>
        <v>0</v>
      </c>
      <c r="AG84" s="392">
        <f t="shared" si="52"/>
        <v>0</v>
      </c>
      <c r="AH84" s="392">
        <f t="shared" si="53"/>
        <v>0</v>
      </c>
      <c r="AI84" s="392">
        <f t="shared" si="54"/>
        <v>0</v>
      </c>
      <c r="AJ84" s="393">
        <f t="shared" si="55"/>
        <v>0</v>
      </c>
      <c r="AK84" s="391">
        <f t="shared" si="56"/>
        <v>0</v>
      </c>
      <c r="AL84" s="391">
        <f t="shared" si="57"/>
        <v>0</v>
      </c>
      <c r="AM84" s="391">
        <f t="shared" si="58"/>
        <v>0</v>
      </c>
      <c r="AN84" s="391">
        <f t="shared" si="59"/>
        <v>0</v>
      </c>
      <c r="AO84" s="403">
        <f t="shared" si="60"/>
        <v>0</v>
      </c>
      <c r="AP84" s="405"/>
      <c r="AQ84" s="390" t="e">
        <f t="shared" si="61"/>
        <v>#N/A</v>
      </c>
      <c r="AR84" s="408">
        <f t="shared" si="62"/>
        <v>0</v>
      </c>
      <c r="AS84" s="409" t="str">
        <f t="shared" si="47"/>
        <v/>
      </c>
      <c r="AT84" s="416"/>
    </row>
    <row r="85" spans="1:46" ht="15" x14ac:dyDescent="0.25">
      <c r="A85" s="592">
        <v>82</v>
      </c>
      <c r="B85" s="604"/>
      <c r="C85" s="302"/>
      <c r="D85" s="304"/>
      <c r="E85" s="306"/>
      <c r="F85" s="698"/>
      <c r="G85" s="304"/>
      <c r="H85" s="304"/>
      <c r="I85" s="304"/>
      <c r="J85" s="304"/>
      <c r="K85" s="307"/>
      <c r="L85" s="590" t="str">
        <f t="shared" si="46"/>
        <v/>
      </c>
      <c r="M85" s="416"/>
      <c r="N85" s="405"/>
      <c r="O85" s="468" t="str">
        <f t="shared" si="40"/>
        <v xml:space="preserve"> </v>
      </c>
      <c r="P85" s="468" t="str">
        <f t="shared" si="41"/>
        <v xml:space="preserve"> </v>
      </c>
      <c r="Q85" s="468" t="str">
        <f t="shared" si="42"/>
        <v xml:space="preserve"> </v>
      </c>
      <c r="R85" s="468" t="str">
        <f t="shared" si="43"/>
        <v xml:space="preserve"> </v>
      </c>
      <c r="S85" s="468" t="str">
        <f t="shared" si="44"/>
        <v xml:space="preserve"> </v>
      </c>
      <c r="T85" s="468" t="str">
        <f t="shared" si="45"/>
        <v xml:space="preserve"> </v>
      </c>
      <c r="U85" s="405"/>
      <c r="V85" s="405"/>
      <c r="W85" s="405"/>
      <c r="X85" s="405"/>
      <c r="Y85" s="405"/>
      <c r="Z85" s="405"/>
      <c r="AA85" s="405"/>
      <c r="AB85" s="405"/>
      <c r="AC85" s="389" t="e">
        <f t="shared" si="48"/>
        <v>#N/A</v>
      </c>
      <c r="AD85" s="390">
        <f t="shared" si="49"/>
        <v>0</v>
      </c>
      <c r="AE85" s="390">
        <f t="shared" si="50"/>
        <v>0</v>
      </c>
      <c r="AF85" s="391">
        <f t="shared" si="51"/>
        <v>0</v>
      </c>
      <c r="AG85" s="392">
        <f t="shared" si="52"/>
        <v>0</v>
      </c>
      <c r="AH85" s="392">
        <f t="shared" si="53"/>
        <v>0</v>
      </c>
      <c r="AI85" s="392">
        <f t="shared" si="54"/>
        <v>0</v>
      </c>
      <c r="AJ85" s="393">
        <f t="shared" si="55"/>
        <v>0</v>
      </c>
      <c r="AK85" s="391">
        <f t="shared" si="56"/>
        <v>0</v>
      </c>
      <c r="AL85" s="391">
        <f t="shared" si="57"/>
        <v>0</v>
      </c>
      <c r="AM85" s="391">
        <f t="shared" si="58"/>
        <v>0</v>
      </c>
      <c r="AN85" s="391">
        <f t="shared" si="59"/>
        <v>0</v>
      </c>
      <c r="AO85" s="403">
        <f t="shared" si="60"/>
        <v>0</v>
      </c>
      <c r="AP85" s="405"/>
      <c r="AQ85" s="390" t="e">
        <f t="shared" si="61"/>
        <v>#N/A</v>
      </c>
      <c r="AR85" s="408">
        <f t="shared" si="62"/>
        <v>0</v>
      </c>
      <c r="AS85" s="409" t="str">
        <f t="shared" si="47"/>
        <v/>
      </c>
      <c r="AT85" s="416"/>
    </row>
    <row r="86" spans="1:46" ht="15" x14ac:dyDescent="0.25">
      <c r="A86" s="592">
        <v>83</v>
      </c>
      <c r="B86" s="604"/>
      <c r="C86" s="302"/>
      <c r="D86" s="304"/>
      <c r="E86" s="306"/>
      <c r="F86" s="698"/>
      <c r="G86" s="304"/>
      <c r="H86" s="304"/>
      <c r="I86" s="304"/>
      <c r="J86" s="304"/>
      <c r="K86" s="307"/>
      <c r="L86" s="590" t="str">
        <f t="shared" si="46"/>
        <v/>
      </c>
      <c r="M86" s="416"/>
      <c r="N86" s="405"/>
      <c r="O86" s="468" t="str">
        <f t="shared" si="40"/>
        <v xml:space="preserve"> </v>
      </c>
      <c r="P86" s="468" t="str">
        <f t="shared" si="41"/>
        <v xml:space="preserve"> </v>
      </c>
      <c r="Q86" s="468" t="str">
        <f t="shared" si="42"/>
        <v xml:space="preserve"> </v>
      </c>
      <c r="R86" s="468" t="str">
        <f t="shared" si="43"/>
        <v xml:space="preserve"> </v>
      </c>
      <c r="S86" s="468" t="str">
        <f t="shared" si="44"/>
        <v xml:space="preserve"> </v>
      </c>
      <c r="T86" s="468" t="str">
        <f t="shared" si="45"/>
        <v xml:space="preserve"> </v>
      </c>
      <c r="U86" s="405"/>
      <c r="V86" s="405"/>
      <c r="W86" s="405"/>
      <c r="X86" s="405"/>
      <c r="Y86" s="405"/>
      <c r="Z86" s="405"/>
      <c r="AA86" s="405"/>
      <c r="AB86" s="405"/>
      <c r="AC86" s="389" t="e">
        <f t="shared" si="48"/>
        <v>#N/A</v>
      </c>
      <c r="AD86" s="390">
        <f t="shared" si="49"/>
        <v>0</v>
      </c>
      <c r="AE86" s="390">
        <f t="shared" si="50"/>
        <v>0</v>
      </c>
      <c r="AF86" s="391">
        <f t="shared" si="51"/>
        <v>0</v>
      </c>
      <c r="AG86" s="392">
        <f t="shared" si="52"/>
        <v>0</v>
      </c>
      <c r="AH86" s="392">
        <f t="shared" si="53"/>
        <v>0</v>
      </c>
      <c r="AI86" s="392">
        <f t="shared" si="54"/>
        <v>0</v>
      </c>
      <c r="AJ86" s="393">
        <f t="shared" si="55"/>
        <v>0</v>
      </c>
      <c r="AK86" s="391">
        <f t="shared" si="56"/>
        <v>0</v>
      </c>
      <c r="AL86" s="391">
        <f t="shared" si="57"/>
        <v>0</v>
      </c>
      <c r="AM86" s="391">
        <f t="shared" si="58"/>
        <v>0</v>
      </c>
      <c r="AN86" s="391">
        <f t="shared" si="59"/>
        <v>0</v>
      </c>
      <c r="AO86" s="403">
        <f t="shared" si="60"/>
        <v>0</v>
      </c>
      <c r="AP86" s="405"/>
      <c r="AQ86" s="390" t="e">
        <f t="shared" si="61"/>
        <v>#N/A</v>
      </c>
      <c r="AR86" s="408">
        <f t="shared" si="62"/>
        <v>0</v>
      </c>
      <c r="AS86" s="409" t="str">
        <f t="shared" si="47"/>
        <v/>
      </c>
      <c r="AT86" s="416"/>
    </row>
    <row r="87" spans="1:46" ht="15" x14ac:dyDescent="0.25">
      <c r="A87" s="592">
        <v>84</v>
      </c>
      <c r="B87" s="604"/>
      <c r="C87" s="302"/>
      <c r="D87" s="304"/>
      <c r="E87" s="306"/>
      <c r="F87" s="698"/>
      <c r="G87" s="304"/>
      <c r="H87" s="304"/>
      <c r="I87" s="304"/>
      <c r="J87" s="304"/>
      <c r="K87" s="307"/>
      <c r="L87" s="590" t="str">
        <f t="shared" si="46"/>
        <v/>
      </c>
      <c r="M87" s="416"/>
      <c r="N87" s="405"/>
      <c r="O87" s="468" t="str">
        <f t="shared" si="40"/>
        <v xml:space="preserve"> </v>
      </c>
      <c r="P87" s="468" t="str">
        <f t="shared" si="41"/>
        <v xml:space="preserve"> </v>
      </c>
      <c r="Q87" s="468" t="str">
        <f t="shared" si="42"/>
        <v xml:space="preserve"> </v>
      </c>
      <c r="R87" s="468" t="str">
        <f t="shared" si="43"/>
        <v xml:space="preserve"> </v>
      </c>
      <c r="S87" s="468" t="str">
        <f t="shared" si="44"/>
        <v xml:space="preserve"> </v>
      </c>
      <c r="T87" s="468" t="str">
        <f t="shared" si="45"/>
        <v xml:space="preserve"> </v>
      </c>
      <c r="U87" s="405"/>
      <c r="V87" s="405"/>
      <c r="W87" s="405"/>
      <c r="X87" s="405"/>
      <c r="Y87" s="405"/>
      <c r="Z87" s="405"/>
      <c r="AA87" s="405"/>
      <c r="AB87" s="405"/>
      <c r="AC87" s="389" t="e">
        <f t="shared" si="48"/>
        <v>#N/A</v>
      </c>
      <c r="AD87" s="390">
        <f t="shared" si="49"/>
        <v>0</v>
      </c>
      <c r="AE87" s="390">
        <f t="shared" si="50"/>
        <v>0</v>
      </c>
      <c r="AF87" s="391">
        <f t="shared" si="51"/>
        <v>0</v>
      </c>
      <c r="AG87" s="392">
        <f t="shared" si="52"/>
        <v>0</v>
      </c>
      <c r="AH87" s="392">
        <f t="shared" si="53"/>
        <v>0</v>
      </c>
      <c r="AI87" s="392">
        <f t="shared" si="54"/>
        <v>0</v>
      </c>
      <c r="AJ87" s="393">
        <f t="shared" si="55"/>
        <v>0</v>
      </c>
      <c r="AK87" s="391">
        <f t="shared" si="56"/>
        <v>0</v>
      </c>
      <c r="AL87" s="391">
        <f t="shared" si="57"/>
        <v>0</v>
      </c>
      <c r="AM87" s="391">
        <f t="shared" si="58"/>
        <v>0</v>
      </c>
      <c r="AN87" s="391">
        <f t="shared" si="59"/>
        <v>0</v>
      </c>
      <c r="AO87" s="403">
        <f t="shared" si="60"/>
        <v>0</v>
      </c>
      <c r="AP87" s="405"/>
      <c r="AQ87" s="390" t="e">
        <f t="shared" si="61"/>
        <v>#N/A</v>
      </c>
      <c r="AR87" s="408">
        <f t="shared" si="62"/>
        <v>0</v>
      </c>
      <c r="AS87" s="409" t="str">
        <f t="shared" si="47"/>
        <v/>
      </c>
      <c r="AT87" s="416"/>
    </row>
    <row r="88" spans="1:46" ht="15" x14ac:dyDescent="0.25">
      <c r="A88" s="592">
        <v>85</v>
      </c>
      <c r="B88" s="604"/>
      <c r="C88" s="302"/>
      <c r="D88" s="304"/>
      <c r="E88" s="306"/>
      <c r="F88" s="698"/>
      <c r="G88" s="304"/>
      <c r="H88" s="304"/>
      <c r="I88" s="304"/>
      <c r="J88" s="304"/>
      <c r="K88" s="307"/>
      <c r="L88" s="590" t="str">
        <f t="shared" si="46"/>
        <v/>
      </c>
      <c r="M88" s="416"/>
      <c r="N88" s="405"/>
      <c r="O88" s="468" t="str">
        <f t="shared" si="40"/>
        <v xml:space="preserve"> </v>
      </c>
      <c r="P88" s="468" t="str">
        <f t="shared" si="41"/>
        <v xml:space="preserve"> </v>
      </c>
      <c r="Q88" s="468" t="str">
        <f t="shared" si="42"/>
        <v xml:space="preserve"> </v>
      </c>
      <c r="R88" s="468" t="str">
        <f t="shared" si="43"/>
        <v xml:space="preserve"> </v>
      </c>
      <c r="S88" s="468" t="str">
        <f t="shared" si="44"/>
        <v xml:space="preserve"> </v>
      </c>
      <c r="T88" s="468" t="str">
        <f t="shared" si="45"/>
        <v xml:space="preserve"> </v>
      </c>
      <c r="U88" s="405"/>
      <c r="V88" s="405"/>
      <c r="W88" s="405"/>
      <c r="X88" s="405"/>
      <c r="Y88" s="405"/>
      <c r="Z88" s="405"/>
      <c r="AA88" s="405"/>
      <c r="AB88" s="405"/>
      <c r="AC88" s="389" t="e">
        <f t="shared" si="48"/>
        <v>#N/A</v>
      </c>
      <c r="AD88" s="390">
        <f t="shared" si="49"/>
        <v>0</v>
      </c>
      <c r="AE88" s="390">
        <f t="shared" si="50"/>
        <v>0</v>
      </c>
      <c r="AF88" s="391">
        <f t="shared" si="51"/>
        <v>0</v>
      </c>
      <c r="AG88" s="392">
        <f t="shared" si="52"/>
        <v>0</v>
      </c>
      <c r="AH88" s="392">
        <f t="shared" si="53"/>
        <v>0</v>
      </c>
      <c r="AI88" s="392">
        <f t="shared" si="54"/>
        <v>0</v>
      </c>
      <c r="AJ88" s="393">
        <f t="shared" si="55"/>
        <v>0</v>
      </c>
      <c r="AK88" s="391">
        <f t="shared" si="56"/>
        <v>0</v>
      </c>
      <c r="AL88" s="391">
        <f t="shared" si="57"/>
        <v>0</v>
      </c>
      <c r="AM88" s="391">
        <f t="shared" si="58"/>
        <v>0</v>
      </c>
      <c r="AN88" s="391">
        <f t="shared" si="59"/>
        <v>0</v>
      </c>
      <c r="AO88" s="403">
        <f t="shared" si="60"/>
        <v>0</v>
      </c>
      <c r="AP88" s="405"/>
      <c r="AQ88" s="390" t="e">
        <f t="shared" si="61"/>
        <v>#N/A</v>
      </c>
      <c r="AR88" s="408">
        <f t="shared" si="62"/>
        <v>0</v>
      </c>
      <c r="AS88" s="409" t="str">
        <f t="shared" si="47"/>
        <v/>
      </c>
      <c r="AT88" s="416"/>
    </row>
    <row r="89" spans="1:46" ht="15" x14ac:dyDescent="0.25">
      <c r="A89" s="592">
        <v>86</v>
      </c>
      <c r="B89" s="604"/>
      <c r="C89" s="302"/>
      <c r="D89" s="304"/>
      <c r="E89" s="306"/>
      <c r="F89" s="698"/>
      <c r="G89" s="304"/>
      <c r="H89" s="304"/>
      <c r="I89" s="304"/>
      <c r="J89" s="304"/>
      <c r="K89" s="307"/>
      <c r="L89" s="590" t="str">
        <f t="shared" si="46"/>
        <v/>
      </c>
      <c r="M89" s="416"/>
      <c r="N89" s="405"/>
      <c r="O89" s="468" t="str">
        <f t="shared" si="40"/>
        <v xml:space="preserve"> </v>
      </c>
      <c r="P89" s="468" t="str">
        <f t="shared" si="41"/>
        <v xml:space="preserve"> </v>
      </c>
      <c r="Q89" s="468" t="str">
        <f t="shared" si="42"/>
        <v xml:space="preserve"> </v>
      </c>
      <c r="R89" s="468" t="str">
        <f t="shared" si="43"/>
        <v xml:space="preserve"> </v>
      </c>
      <c r="S89" s="468" t="str">
        <f t="shared" si="44"/>
        <v xml:space="preserve"> </v>
      </c>
      <c r="T89" s="468" t="str">
        <f t="shared" si="45"/>
        <v xml:space="preserve"> </v>
      </c>
      <c r="U89" s="405"/>
      <c r="V89" s="405"/>
      <c r="W89" s="405"/>
      <c r="X89" s="405"/>
      <c r="Y89" s="405"/>
      <c r="Z89" s="405"/>
      <c r="AA89" s="405"/>
      <c r="AB89" s="405"/>
      <c r="AC89" s="389" t="e">
        <f t="shared" si="48"/>
        <v>#N/A</v>
      </c>
      <c r="AD89" s="390">
        <f t="shared" si="49"/>
        <v>0</v>
      </c>
      <c r="AE89" s="390">
        <f t="shared" si="50"/>
        <v>0</v>
      </c>
      <c r="AF89" s="391">
        <f t="shared" si="51"/>
        <v>0</v>
      </c>
      <c r="AG89" s="392">
        <f t="shared" si="52"/>
        <v>0</v>
      </c>
      <c r="AH89" s="392">
        <f t="shared" si="53"/>
        <v>0</v>
      </c>
      <c r="AI89" s="392">
        <f t="shared" si="54"/>
        <v>0</v>
      </c>
      <c r="AJ89" s="393">
        <f t="shared" si="55"/>
        <v>0</v>
      </c>
      <c r="AK89" s="391">
        <f t="shared" si="56"/>
        <v>0</v>
      </c>
      <c r="AL89" s="391">
        <f t="shared" si="57"/>
        <v>0</v>
      </c>
      <c r="AM89" s="391">
        <f t="shared" si="58"/>
        <v>0</v>
      </c>
      <c r="AN89" s="391">
        <f t="shared" si="59"/>
        <v>0</v>
      </c>
      <c r="AO89" s="403">
        <f t="shared" si="60"/>
        <v>0</v>
      </c>
      <c r="AP89" s="405"/>
      <c r="AQ89" s="390" t="e">
        <f t="shared" si="61"/>
        <v>#N/A</v>
      </c>
      <c r="AR89" s="408">
        <f t="shared" si="62"/>
        <v>0</v>
      </c>
      <c r="AS89" s="409" t="str">
        <f t="shared" si="47"/>
        <v/>
      </c>
      <c r="AT89" s="416"/>
    </row>
    <row r="90" spans="1:46" ht="15" x14ac:dyDescent="0.25">
      <c r="A90" s="592">
        <v>87</v>
      </c>
      <c r="B90" s="604"/>
      <c r="C90" s="302"/>
      <c r="D90" s="304"/>
      <c r="E90" s="306"/>
      <c r="F90" s="698"/>
      <c r="G90" s="304"/>
      <c r="H90" s="304"/>
      <c r="I90" s="304"/>
      <c r="J90" s="304"/>
      <c r="K90" s="307"/>
      <c r="L90" s="590" t="str">
        <f t="shared" si="46"/>
        <v/>
      </c>
      <c r="M90" s="416"/>
      <c r="N90" s="405"/>
      <c r="O90" s="468" t="str">
        <f t="shared" si="40"/>
        <v xml:space="preserve"> </v>
      </c>
      <c r="P90" s="468" t="str">
        <f t="shared" si="41"/>
        <v xml:space="preserve"> </v>
      </c>
      <c r="Q90" s="468" t="str">
        <f t="shared" si="42"/>
        <v xml:space="preserve"> </v>
      </c>
      <c r="R90" s="468" t="str">
        <f t="shared" si="43"/>
        <v xml:space="preserve"> </v>
      </c>
      <c r="S90" s="468" t="str">
        <f t="shared" si="44"/>
        <v xml:space="preserve"> </v>
      </c>
      <c r="T90" s="468" t="str">
        <f t="shared" si="45"/>
        <v xml:space="preserve"> </v>
      </c>
      <c r="U90" s="405"/>
      <c r="V90" s="405"/>
      <c r="W90" s="405"/>
      <c r="X90" s="405"/>
      <c r="Y90" s="405"/>
      <c r="Z90" s="405"/>
      <c r="AA90" s="405"/>
      <c r="AB90" s="405"/>
      <c r="AC90" s="389" t="e">
        <f t="shared" si="48"/>
        <v>#N/A</v>
      </c>
      <c r="AD90" s="390">
        <f t="shared" si="49"/>
        <v>0</v>
      </c>
      <c r="AE90" s="390">
        <f t="shared" si="50"/>
        <v>0</v>
      </c>
      <c r="AF90" s="391">
        <f t="shared" si="51"/>
        <v>0</v>
      </c>
      <c r="AG90" s="392">
        <f t="shared" si="52"/>
        <v>0</v>
      </c>
      <c r="AH90" s="392">
        <f t="shared" si="53"/>
        <v>0</v>
      </c>
      <c r="AI90" s="392">
        <f t="shared" si="54"/>
        <v>0</v>
      </c>
      <c r="AJ90" s="393">
        <f t="shared" si="55"/>
        <v>0</v>
      </c>
      <c r="AK90" s="391">
        <f t="shared" si="56"/>
        <v>0</v>
      </c>
      <c r="AL90" s="391">
        <f t="shared" si="57"/>
        <v>0</v>
      </c>
      <c r="AM90" s="391">
        <f t="shared" si="58"/>
        <v>0</v>
      </c>
      <c r="AN90" s="391">
        <f t="shared" si="59"/>
        <v>0</v>
      </c>
      <c r="AO90" s="403">
        <f t="shared" si="60"/>
        <v>0</v>
      </c>
      <c r="AP90" s="405"/>
      <c r="AQ90" s="390" t="e">
        <f t="shared" si="61"/>
        <v>#N/A</v>
      </c>
      <c r="AR90" s="408">
        <f t="shared" si="62"/>
        <v>0</v>
      </c>
      <c r="AS90" s="409" t="str">
        <f t="shared" si="47"/>
        <v/>
      </c>
      <c r="AT90" s="416"/>
    </row>
    <row r="91" spans="1:46" ht="15" x14ac:dyDescent="0.25">
      <c r="A91" s="592">
        <v>88</v>
      </c>
      <c r="B91" s="604"/>
      <c r="C91" s="302"/>
      <c r="D91" s="304"/>
      <c r="E91" s="306"/>
      <c r="F91" s="698"/>
      <c r="G91" s="304"/>
      <c r="H91" s="304"/>
      <c r="I91" s="304"/>
      <c r="J91" s="304"/>
      <c r="K91" s="307"/>
      <c r="L91" s="590" t="str">
        <f t="shared" si="46"/>
        <v/>
      </c>
      <c r="M91" s="416"/>
      <c r="N91" s="405"/>
      <c r="O91" s="468" t="str">
        <f t="shared" si="40"/>
        <v xml:space="preserve"> </v>
      </c>
      <c r="P91" s="468" t="str">
        <f t="shared" si="41"/>
        <v xml:space="preserve"> </v>
      </c>
      <c r="Q91" s="468" t="str">
        <f t="shared" si="42"/>
        <v xml:space="preserve"> </v>
      </c>
      <c r="R91" s="468" t="str">
        <f t="shared" si="43"/>
        <v xml:space="preserve"> </v>
      </c>
      <c r="S91" s="468" t="str">
        <f t="shared" si="44"/>
        <v xml:space="preserve"> </v>
      </c>
      <c r="T91" s="468" t="str">
        <f t="shared" si="45"/>
        <v xml:space="preserve"> </v>
      </c>
      <c r="U91" s="405"/>
      <c r="V91" s="405"/>
      <c r="W91" s="405"/>
      <c r="X91" s="405"/>
      <c r="Y91" s="405"/>
      <c r="Z91" s="405"/>
      <c r="AA91" s="405"/>
      <c r="AB91" s="405"/>
      <c r="AC91" s="389" t="e">
        <f t="shared" si="48"/>
        <v>#N/A</v>
      </c>
      <c r="AD91" s="390">
        <f t="shared" si="49"/>
        <v>0</v>
      </c>
      <c r="AE91" s="390">
        <f t="shared" si="50"/>
        <v>0</v>
      </c>
      <c r="AF91" s="391">
        <f t="shared" si="51"/>
        <v>0</v>
      </c>
      <c r="AG91" s="392">
        <f t="shared" si="52"/>
        <v>0</v>
      </c>
      <c r="AH91" s="392">
        <f t="shared" si="53"/>
        <v>0</v>
      </c>
      <c r="AI91" s="392">
        <f t="shared" si="54"/>
        <v>0</v>
      </c>
      <c r="AJ91" s="393">
        <f t="shared" si="55"/>
        <v>0</v>
      </c>
      <c r="AK91" s="391">
        <f t="shared" si="56"/>
        <v>0</v>
      </c>
      <c r="AL91" s="391">
        <f t="shared" si="57"/>
        <v>0</v>
      </c>
      <c r="AM91" s="391">
        <f t="shared" si="58"/>
        <v>0</v>
      </c>
      <c r="AN91" s="391">
        <f t="shared" si="59"/>
        <v>0</v>
      </c>
      <c r="AO91" s="403">
        <f t="shared" si="60"/>
        <v>0</v>
      </c>
      <c r="AP91" s="405"/>
      <c r="AQ91" s="390" t="e">
        <f t="shared" si="61"/>
        <v>#N/A</v>
      </c>
      <c r="AR91" s="408">
        <f t="shared" si="62"/>
        <v>0</v>
      </c>
      <c r="AS91" s="409" t="str">
        <f t="shared" si="47"/>
        <v/>
      </c>
      <c r="AT91" s="416"/>
    </row>
    <row r="92" spans="1:46" ht="15" x14ac:dyDescent="0.25">
      <c r="A92" s="592">
        <v>89</v>
      </c>
      <c r="B92" s="604"/>
      <c r="C92" s="302"/>
      <c r="D92" s="304"/>
      <c r="E92" s="306"/>
      <c r="F92" s="698"/>
      <c r="G92" s="304"/>
      <c r="H92" s="304"/>
      <c r="I92" s="304"/>
      <c r="J92" s="304"/>
      <c r="K92" s="307"/>
      <c r="L92" s="590" t="str">
        <f t="shared" si="46"/>
        <v/>
      </c>
      <c r="M92" s="416"/>
      <c r="N92" s="405"/>
      <c r="O92" s="468" t="str">
        <f t="shared" si="40"/>
        <v xml:space="preserve"> </v>
      </c>
      <c r="P92" s="468" t="str">
        <f t="shared" si="41"/>
        <v xml:space="preserve"> </v>
      </c>
      <c r="Q92" s="468" t="str">
        <f t="shared" si="42"/>
        <v xml:space="preserve"> </v>
      </c>
      <c r="R92" s="468" t="str">
        <f t="shared" si="43"/>
        <v xml:space="preserve"> </v>
      </c>
      <c r="S92" s="468" t="str">
        <f t="shared" si="44"/>
        <v xml:space="preserve"> </v>
      </c>
      <c r="T92" s="468" t="str">
        <f t="shared" si="45"/>
        <v xml:space="preserve"> </v>
      </c>
      <c r="U92" s="405"/>
      <c r="V92" s="405"/>
      <c r="W92" s="405"/>
      <c r="X92" s="405"/>
      <c r="Y92" s="405"/>
      <c r="Z92" s="405"/>
      <c r="AA92" s="405"/>
      <c r="AB92" s="405"/>
      <c r="AC92" s="389" t="e">
        <f t="shared" si="48"/>
        <v>#N/A</v>
      </c>
      <c r="AD92" s="390">
        <f t="shared" si="49"/>
        <v>0</v>
      </c>
      <c r="AE92" s="390">
        <f t="shared" si="50"/>
        <v>0</v>
      </c>
      <c r="AF92" s="391">
        <f t="shared" si="51"/>
        <v>0</v>
      </c>
      <c r="AG92" s="392">
        <f t="shared" si="52"/>
        <v>0</v>
      </c>
      <c r="AH92" s="392">
        <f t="shared" si="53"/>
        <v>0</v>
      </c>
      <c r="AI92" s="392">
        <f t="shared" si="54"/>
        <v>0</v>
      </c>
      <c r="AJ92" s="393">
        <f t="shared" si="55"/>
        <v>0</v>
      </c>
      <c r="AK92" s="391">
        <f t="shared" si="56"/>
        <v>0</v>
      </c>
      <c r="AL92" s="391">
        <f t="shared" si="57"/>
        <v>0</v>
      </c>
      <c r="AM92" s="391">
        <f t="shared" si="58"/>
        <v>0</v>
      </c>
      <c r="AN92" s="391">
        <f t="shared" si="59"/>
        <v>0</v>
      </c>
      <c r="AO92" s="403">
        <f t="shared" si="60"/>
        <v>0</v>
      </c>
      <c r="AP92" s="405"/>
      <c r="AQ92" s="390" t="e">
        <f t="shared" si="61"/>
        <v>#N/A</v>
      </c>
      <c r="AR92" s="408">
        <f t="shared" si="62"/>
        <v>0</v>
      </c>
      <c r="AS92" s="409" t="str">
        <f t="shared" si="47"/>
        <v/>
      </c>
      <c r="AT92" s="416"/>
    </row>
    <row r="93" spans="1:46" ht="15" x14ac:dyDescent="0.25">
      <c r="A93" s="592">
        <v>90</v>
      </c>
      <c r="B93" s="604"/>
      <c r="C93" s="302"/>
      <c r="D93" s="304"/>
      <c r="E93" s="306"/>
      <c r="F93" s="698"/>
      <c r="G93" s="304"/>
      <c r="H93" s="304"/>
      <c r="I93" s="304"/>
      <c r="J93" s="304"/>
      <c r="K93" s="307"/>
      <c r="L93" s="590" t="str">
        <f t="shared" si="46"/>
        <v/>
      </c>
      <c r="M93" s="416"/>
      <c r="N93" s="405"/>
      <c r="O93" s="468" t="str">
        <f t="shared" si="40"/>
        <v xml:space="preserve"> </v>
      </c>
      <c r="P93" s="468" t="str">
        <f t="shared" si="41"/>
        <v xml:space="preserve"> </v>
      </c>
      <c r="Q93" s="468" t="str">
        <f t="shared" si="42"/>
        <v xml:space="preserve"> </v>
      </c>
      <c r="R93" s="468" t="str">
        <f t="shared" si="43"/>
        <v xml:space="preserve"> </v>
      </c>
      <c r="S93" s="468" t="str">
        <f t="shared" si="44"/>
        <v xml:space="preserve"> </v>
      </c>
      <c r="T93" s="468" t="str">
        <f t="shared" si="45"/>
        <v xml:space="preserve"> </v>
      </c>
      <c r="U93" s="405"/>
      <c r="V93" s="405"/>
      <c r="W93" s="405"/>
      <c r="X93" s="405"/>
      <c r="Y93" s="405"/>
      <c r="Z93" s="405"/>
      <c r="AA93" s="405"/>
      <c r="AB93" s="405"/>
      <c r="AC93" s="389" t="e">
        <f t="shared" si="48"/>
        <v>#N/A</v>
      </c>
      <c r="AD93" s="390">
        <f t="shared" si="49"/>
        <v>0</v>
      </c>
      <c r="AE93" s="390">
        <f t="shared" si="50"/>
        <v>0</v>
      </c>
      <c r="AF93" s="391">
        <f t="shared" si="51"/>
        <v>0</v>
      </c>
      <c r="AG93" s="392">
        <f t="shared" si="52"/>
        <v>0</v>
      </c>
      <c r="AH93" s="392">
        <f t="shared" si="53"/>
        <v>0</v>
      </c>
      <c r="AI93" s="392">
        <f t="shared" si="54"/>
        <v>0</v>
      </c>
      <c r="AJ93" s="393">
        <f t="shared" si="55"/>
        <v>0</v>
      </c>
      <c r="AK93" s="391">
        <f t="shared" si="56"/>
        <v>0</v>
      </c>
      <c r="AL93" s="391">
        <f t="shared" si="57"/>
        <v>0</v>
      </c>
      <c r="AM93" s="391">
        <f t="shared" si="58"/>
        <v>0</v>
      </c>
      <c r="AN93" s="391">
        <f t="shared" si="59"/>
        <v>0</v>
      </c>
      <c r="AO93" s="403">
        <f t="shared" si="60"/>
        <v>0</v>
      </c>
      <c r="AP93" s="405"/>
      <c r="AQ93" s="390" t="e">
        <f t="shared" si="61"/>
        <v>#N/A</v>
      </c>
      <c r="AR93" s="408">
        <f t="shared" si="62"/>
        <v>0</v>
      </c>
      <c r="AS93" s="409" t="str">
        <f t="shared" si="47"/>
        <v/>
      </c>
      <c r="AT93" s="416"/>
    </row>
    <row r="94" spans="1:46" ht="15" x14ac:dyDescent="0.25">
      <c r="A94" s="592">
        <v>91</v>
      </c>
      <c r="B94" s="604"/>
      <c r="C94" s="302"/>
      <c r="D94" s="304"/>
      <c r="E94" s="306"/>
      <c r="F94" s="698"/>
      <c r="G94" s="304"/>
      <c r="H94" s="304"/>
      <c r="I94" s="304"/>
      <c r="J94" s="304"/>
      <c r="K94" s="307"/>
      <c r="L94" s="590" t="str">
        <f t="shared" si="46"/>
        <v/>
      </c>
      <c r="M94" s="416"/>
      <c r="N94" s="405"/>
      <c r="O94" s="468" t="str">
        <f t="shared" si="40"/>
        <v xml:space="preserve"> </v>
      </c>
      <c r="P94" s="468" t="str">
        <f t="shared" si="41"/>
        <v xml:space="preserve"> </v>
      </c>
      <c r="Q94" s="468" t="str">
        <f t="shared" si="42"/>
        <v xml:space="preserve"> </v>
      </c>
      <c r="R94" s="468" t="str">
        <f t="shared" si="43"/>
        <v xml:space="preserve"> </v>
      </c>
      <c r="S94" s="468" t="str">
        <f t="shared" si="44"/>
        <v xml:space="preserve"> </v>
      </c>
      <c r="T94" s="468" t="str">
        <f t="shared" si="45"/>
        <v xml:space="preserve"> </v>
      </c>
      <c r="U94" s="405"/>
      <c r="V94" s="405"/>
      <c r="W94" s="405"/>
      <c r="X94" s="405"/>
      <c r="Y94" s="405"/>
      <c r="Z94" s="405"/>
      <c r="AA94" s="405"/>
      <c r="AB94" s="405"/>
      <c r="AC94" s="389" t="e">
        <f t="shared" si="48"/>
        <v>#N/A</v>
      </c>
      <c r="AD94" s="390">
        <f t="shared" si="49"/>
        <v>0</v>
      </c>
      <c r="AE94" s="390">
        <f t="shared" si="50"/>
        <v>0</v>
      </c>
      <c r="AF94" s="391">
        <f t="shared" si="51"/>
        <v>0</v>
      </c>
      <c r="AG94" s="392">
        <f t="shared" si="52"/>
        <v>0</v>
      </c>
      <c r="AH94" s="392">
        <f t="shared" si="53"/>
        <v>0</v>
      </c>
      <c r="AI94" s="392">
        <f t="shared" si="54"/>
        <v>0</v>
      </c>
      <c r="AJ94" s="393">
        <f t="shared" si="55"/>
        <v>0</v>
      </c>
      <c r="AK94" s="391">
        <f t="shared" si="56"/>
        <v>0</v>
      </c>
      <c r="AL94" s="391">
        <f t="shared" si="57"/>
        <v>0</v>
      </c>
      <c r="AM94" s="391">
        <f t="shared" si="58"/>
        <v>0</v>
      </c>
      <c r="AN94" s="391">
        <f t="shared" si="59"/>
        <v>0</v>
      </c>
      <c r="AO94" s="403">
        <f t="shared" si="60"/>
        <v>0</v>
      </c>
      <c r="AP94" s="405"/>
      <c r="AQ94" s="390" t="e">
        <f t="shared" si="61"/>
        <v>#N/A</v>
      </c>
      <c r="AR94" s="408">
        <f t="shared" si="62"/>
        <v>0</v>
      </c>
      <c r="AS94" s="409" t="str">
        <f t="shared" si="47"/>
        <v/>
      </c>
      <c r="AT94" s="416"/>
    </row>
    <row r="95" spans="1:46" ht="15" x14ac:dyDescent="0.25">
      <c r="A95" s="592">
        <v>92</v>
      </c>
      <c r="B95" s="604"/>
      <c r="C95" s="302"/>
      <c r="D95" s="304"/>
      <c r="E95" s="306"/>
      <c r="F95" s="698"/>
      <c r="G95" s="304"/>
      <c r="H95" s="304"/>
      <c r="I95" s="304"/>
      <c r="J95" s="304"/>
      <c r="K95" s="307"/>
      <c r="L95" s="590" t="str">
        <f t="shared" si="46"/>
        <v/>
      </c>
      <c r="M95" s="416"/>
      <c r="N95" s="405"/>
      <c r="O95" s="468" t="str">
        <f t="shared" si="40"/>
        <v xml:space="preserve"> </v>
      </c>
      <c r="P95" s="468" t="str">
        <f t="shared" si="41"/>
        <v xml:space="preserve"> </v>
      </c>
      <c r="Q95" s="468" t="str">
        <f t="shared" si="42"/>
        <v xml:space="preserve"> </v>
      </c>
      <c r="R95" s="468" t="str">
        <f t="shared" si="43"/>
        <v xml:space="preserve"> </v>
      </c>
      <c r="S95" s="468" t="str">
        <f t="shared" si="44"/>
        <v xml:space="preserve"> </v>
      </c>
      <c r="T95" s="468" t="str">
        <f t="shared" si="45"/>
        <v xml:space="preserve"> </v>
      </c>
      <c r="U95" s="405"/>
      <c r="V95" s="405"/>
      <c r="W95" s="405"/>
      <c r="X95" s="405"/>
      <c r="Y95" s="405"/>
      <c r="Z95" s="405"/>
      <c r="AA95" s="405"/>
      <c r="AB95" s="405"/>
      <c r="AC95" s="389" t="e">
        <f t="shared" si="48"/>
        <v>#N/A</v>
      </c>
      <c r="AD95" s="390">
        <f t="shared" si="49"/>
        <v>0</v>
      </c>
      <c r="AE95" s="390">
        <f t="shared" si="50"/>
        <v>0</v>
      </c>
      <c r="AF95" s="391">
        <f t="shared" si="51"/>
        <v>0</v>
      </c>
      <c r="AG95" s="392">
        <f t="shared" si="52"/>
        <v>0</v>
      </c>
      <c r="AH95" s="392">
        <f t="shared" si="53"/>
        <v>0</v>
      </c>
      <c r="AI95" s="392">
        <f t="shared" si="54"/>
        <v>0</v>
      </c>
      <c r="AJ95" s="393">
        <f t="shared" si="55"/>
        <v>0</v>
      </c>
      <c r="AK95" s="391">
        <f t="shared" si="56"/>
        <v>0</v>
      </c>
      <c r="AL95" s="391">
        <f t="shared" si="57"/>
        <v>0</v>
      </c>
      <c r="AM95" s="391">
        <f t="shared" si="58"/>
        <v>0</v>
      </c>
      <c r="AN95" s="391">
        <f t="shared" si="59"/>
        <v>0</v>
      </c>
      <c r="AO95" s="403">
        <f t="shared" si="60"/>
        <v>0</v>
      </c>
      <c r="AP95" s="405"/>
      <c r="AQ95" s="390" t="e">
        <f t="shared" si="61"/>
        <v>#N/A</v>
      </c>
      <c r="AR95" s="408">
        <f t="shared" si="62"/>
        <v>0</v>
      </c>
      <c r="AS95" s="409" t="str">
        <f t="shared" si="47"/>
        <v/>
      </c>
      <c r="AT95" s="416"/>
    </row>
    <row r="96" spans="1:46" ht="15" x14ac:dyDescent="0.25">
      <c r="A96" s="592">
        <v>93</v>
      </c>
      <c r="B96" s="604"/>
      <c r="C96" s="302"/>
      <c r="D96" s="304"/>
      <c r="E96" s="306"/>
      <c r="F96" s="698"/>
      <c r="G96" s="304"/>
      <c r="H96" s="304"/>
      <c r="I96" s="304"/>
      <c r="J96" s="304"/>
      <c r="K96" s="307"/>
      <c r="L96" s="590" t="str">
        <f t="shared" si="46"/>
        <v/>
      </c>
      <c r="M96" s="416"/>
      <c r="N96" s="405"/>
      <c r="O96" s="468" t="str">
        <f t="shared" ref="O96:O159" si="63">IF(AND($F81="Studio",$L81="Yes"),$E81," ")</f>
        <v xml:space="preserve"> </v>
      </c>
      <c r="P96" s="468" t="str">
        <f t="shared" ref="P96:P159" si="64">IF(AND($F81=1,$L81="Yes"),$E81," ")</f>
        <v xml:space="preserve"> </v>
      </c>
      <c r="Q96" s="468" t="str">
        <f t="shared" ref="Q96:Q159" si="65">IF(AND($F81=2,$L81="Yes"),$E81," ")</f>
        <v xml:space="preserve"> </v>
      </c>
      <c r="R96" s="468" t="str">
        <f t="shared" ref="R96:R159" si="66">IF(AND($F81=3,$L81="Yes"),$E81," ")</f>
        <v xml:space="preserve"> </v>
      </c>
      <c r="S96" s="468" t="str">
        <f t="shared" ref="S96:S159" si="67">IF(AND($F81=4,$L81="Yes"),$E81," ")</f>
        <v xml:space="preserve"> </v>
      </c>
      <c r="T96" s="468" t="str">
        <f t="shared" ref="T96:T159" si="68">IF(AND($F81=5,$L81="Yes"),$E81," ")</f>
        <v xml:space="preserve"> </v>
      </c>
      <c r="U96" s="405"/>
      <c r="V96" s="405"/>
      <c r="W96" s="405"/>
      <c r="X96" s="405"/>
      <c r="Y96" s="405"/>
      <c r="Z96" s="405"/>
      <c r="AA96" s="405"/>
      <c r="AB96" s="405"/>
      <c r="AC96" s="389" t="e">
        <f t="shared" si="48"/>
        <v>#N/A</v>
      </c>
      <c r="AD96" s="390">
        <f t="shared" si="49"/>
        <v>0</v>
      </c>
      <c r="AE96" s="390">
        <f t="shared" si="50"/>
        <v>0</v>
      </c>
      <c r="AF96" s="391">
        <f t="shared" si="51"/>
        <v>0</v>
      </c>
      <c r="AG96" s="392">
        <f t="shared" si="52"/>
        <v>0</v>
      </c>
      <c r="AH96" s="392">
        <f t="shared" si="53"/>
        <v>0</v>
      </c>
      <c r="AI96" s="392">
        <f t="shared" si="54"/>
        <v>0</v>
      </c>
      <c r="AJ96" s="393">
        <f t="shared" si="55"/>
        <v>0</v>
      </c>
      <c r="AK96" s="391">
        <f t="shared" si="56"/>
        <v>0</v>
      </c>
      <c r="AL96" s="391">
        <f t="shared" si="57"/>
        <v>0</v>
      </c>
      <c r="AM96" s="391">
        <f t="shared" si="58"/>
        <v>0</v>
      </c>
      <c r="AN96" s="391">
        <f t="shared" si="59"/>
        <v>0</v>
      </c>
      <c r="AO96" s="403">
        <f t="shared" si="60"/>
        <v>0</v>
      </c>
      <c r="AP96" s="405"/>
      <c r="AQ96" s="390" t="e">
        <f t="shared" si="61"/>
        <v>#N/A</v>
      </c>
      <c r="AR96" s="408">
        <f t="shared" si="62"/>
        <v>0</v>
      </c>
      <c r="AS96" s="409" t="str">
        <f t="shared" si="47"/>
        <v/>
      </c>
      <c r="AT96" s="416"/>
    </row>
    <row r="97" spans="1:46" ht="15" x14ac:dyDescent="0.25">
      <c r="A97" s="592">
        <v>94</v>
      </c>
      <c r="B97" s="604"/>
      <c r="C97" s="302"/>
      <c r="D97" s="304"/>
      <c r="E97" s="306"/>
      <c r="F97" s="698"/>
      <c r="G97" s="304"/>
      <c r="H97" s="304"/>
      <c r="I97" s="304"/>
      <c r="J97" s="304"/>
      <c r="K97" s="307"/>
      <c r="L97" s="590" t="str">
        <f t="shared" si="46"/>
        <v/>
      </c>
      <c r="M97" s="416"/>
      <c r="N97" s="405"/>
      <c r="O97" s="468" t="str">
        <f t="shared" si="63"/>
        <v xml:space="preserve"> </v>
      </c>
      <c r="P97" s="468" t="str">
        <f t="shared" si="64"/>
        <v xml:space="preserve"> </v>
      </c>
      <c r="Q97" s="468" t="str">
        <f t="shared" si="65"/>
        <v xml:space="preserve"> </v>
      </c>
      <c r="R97" s="468" t="str">
        <f t="shared" si="66"/>
        <v xml:space="preserve"> </v>
      </c>
      <c r="S97" s="468" t="str">
        <f t="shared" si="67"/>
        <v xml:space="preserve"> </v>
      </c>
      <c r="T97" s="468" t="str">
        <f t="shared" si="68"/>
        <v xml:space="preserve"> </v>
      </c>
      <c r="U97" s="405"/>
      <c r="V97" s="405"/>
      <c r="W97" s="405"/>
      <c r="X97" s="405"/>
      <c r="Y97" s="405"/>
      <c r="Z97" s="405"/>
      <c r="AA97" s="405"/>
      <c r="AB97" s="405"/>
      <c r="AC97" s="389" t="e">
        <f t="shared" si="48"/>
        <v>#N/A</v>
      </c>
      <c r="AD97" s="390">
        <f t="shared" si="49"/>
        <v>0</v>
      </c>
      <c r="AE97" s="390">
        <f t="shared" si="50"/>
        <v>0</v>
      </c>
      <c r="AF97" s="391">
        <f t="shared" si="51"/>
        <v>0</v>
      </c>
      <c r="AG97" s="392">
        <f t="shared" si="52"/>
        <v>0</v>
      </c>
      <c r="AH97" s="392">
        <f t="shared" si="53"/>
        <v>0</v>
      </c>
      <c r="AI97" s="392">
        <f t="shared" si="54"/>
        <v>0</v>
      </c>
      <c r="AJ97" s="393">
        <f t="shared" si="55"/>
        <v>0</v>
      </c>
      <c r="AK97" s="391">
        <f t="shared" si="56"/>
        <v>0</v>
      </c>
      <c r="AL97" s="391">
        <f t="shared" si="57"/>
        <v>0</v>
      </c>
      <c r="AM97" s="391">
        <f t="shared" si="58"/>
        <v>0</v>
      </c>
      <c r="AN97" s="391">
        <f t="shared" si="59"/>
        <v>0</v>
      </c>
      <c r="AO97" s="403">
        <f t="shared" si="60"/>
        <v>0</v>
      </c>
      <c r="AP97" s="405"/>
      <c r="AQ97" s="390" t="e">
        <f t="shared" si="61"/>
        <v>#N/A</v>
      </c>
      <c r="AR97" s="408">
        <f t="shared" si="62"/>
        <v>0</v>
      </c>
      <c r="AS97" s="409" t="str">
        <f t="shared" si="47"/>
        <v/>
      </c>
      <c r="AT97" s="416"/>
    </row>
    <row r="98" spans="1:46" ht="15" x14ac:dyDescent="0.25">
      <c r="A98" s="592">
        <v>95</v>
      </c>
      <c r="B98" s="604"/>
      <c r="C98" s="302"/>
      <c r="D98" s="304"/>
      <c r="E98" s="306"/>
      <c r="F98" s="698"/>
      <c r="G98" s="304"/>
      <c r="H98" s="304"/>
      <c r="I98" s="304"/>
      <c r="J98" s="304"/>
      <c r="K98" s="307"/>
      <c r="L98" s="590" t="str">
        <f t="shared" si="46"/>
        <v/>
      </c>
      <c r="M98" s="416"/>
      <c r="N98" s="405"/>
      <c r="O98" s="468" t="str">
        <f t="shared" si="63"/>
        <v xml:space="preserve"> </v>
      </c>
      <c r="P98" s="468" t="str">
        <f t="shared" si="64"/>
        <v xml:space="preserve"> </v>
      </c>
      <c r="Q98" s="468" t="str">
        <f t="shared" si="65"/>
        <v xml:space="preserve"> </v>
      </c>
      <c r="R98" s="468" t="str">
        <f t="shared" si="66"/>
        <v xml:space="preserve"> </v>
      </c>
      <c r="S98" s="468" t="str">
        <f t="shared" si="67"/>
        <v xml:space="preserve"> </v>
      </c>
      <c r="T98" s="468" t="str">
        <f t="shared" si="68"/>
        <v xml:space="preserve"> </v>
      </c>
      <c r="U98" s="405"/>
      <c r="V98" s="405"/>
      <c r="W98" s="405"/>
      <c r="X98" s="405"/>
      <c r="Y98" s="405"/>
      <c r="Z98" s="405"/>
      <c r="AA98" s="405"/>
      <c r="AB98" s="405"/>
      <c r="AC98" s="389" t="e">
        <f t="shared" si="48"/>
        <v>#N/A</v>
      </c>
      <c r="AD98" s="390">
        <f t="shared" si="49"/>
        <v>0</v>
      </c>
      <c r="AE98" s="390">
        <f t="shared" si="50"/>
        <v>0</v>
      </c>
      <c r="AF98" s="391">
        <f t="shared" si="51"/>
        <v>0</v>
      </c>
      <c r="AG98" s="392">
        <f t="shared" si="52"/>
        <v>0</v>
      </c>
      <c r="AH98" s="392">
        <f t="shared" si="53"/>
        <v>0</v>
      </c>
      <c r="AI98" s="392">
        <f t="shared" si="54"/>
        <v>0</v>
      </c>
      <c r="AJ98" s="393">
        <f t="shared" si="55"/>
        <v>0</v>
      </c>
      <c r="AK98" s="391">
        <f t="shared" si="56"/>
        <v>0</v>
      </c>
      <c r="AL98" s="391">
        <f t="shared" si="57"/>
        <v>0</v>
      </c>
      <c r="AM98" s="391">
        <f t="shared" si="58"/>
        <v>0</v>
      </c>
      <c r="AN98" s="391">
        <f t="shared" si="59"/>
        <v>0</v>
      </c>
      <c r="AO98" s="403">
        <f t="shared" si="60"/>
        <v>0</v>
      </c>
      <c r="AP98" s="405"/>
      <c r="AQ98" s="390" t="e">
        <f t="shared" si="61"/>
        <v>#N/A</v>
      </c>
      <c r="AR98" s="408">
        <f t="shared" si="62"/>
        <v>0</v>
      </c>
      <c r="AS98" s="409" t="str">
        <f t="shared" si="47"/>
        <v/>
      </c>
      <c r="AT98" s="416"/>
    </row>
    <row r="99" spans="1:46" ht="15" x14ac:dyDescent="0.25">
      <c r="A99" s="592">
        <v>96</v>
      </c>
      <c r="B99" s="604"/>
      <c r="C99" s="302"/>
      <c r="D99" s="304"/>
      <c r="E99" s="306"/>
      <c r="F99" s="698"/>
      <c r="G99" s="304"/>
      <c r="H99" s="304"/>
      <c r="I99" s="304"/>
      <c r="J99" s="304"/>
      <c r="K99" s="307"/>
      <c r="L99" s="590" t="str">
        <f t="shared" si="46"/>
        <v/>
      </c>
      <c r="M99" s="416"/>
      <c r="N99" s="405"/>
      <c r="O99" s="468" t="str">
        <f t="shared" si="63"/>
        <v xml:space="preserve"> </v>
      </c>
      <c r="P99" s="468" t="str">
        <f t="shared" si="64"/>
        <v xml:space="preserve"> </v>
      </c>
      <c r="Q99" s="468" t="str">
        <f t="shared" si="65"/>
        <v xml:space="preserve"> </v>
      </c>
      <c r="R99" s="468" t="str">
        <f t="shared" si="66"/>
        <v xml:space="preserve"> </v>
      </c>
      <c r="S99" s="468" t="str">
        <f t="shared" si="67"/>
        <v xml:space="preserve"> </v>
      </c>
      <c r="T99" s="468" t="str">
        <f t="shared" si="68"/>
        <v xml:space="preserve"> </v>
      </c>
      <c r="U99" s="405"/>
      <c r="V99" s="405"/>
      <c r="W99" s="405"/>
      <c r="X99" s="405"/>
      <c r="Y99" s="405"/>
      <c r="Z99" s="405"/>
      <c r="AA99" s="405"/>
      <c r="AB99" s="405"/>
      <c r="AC99" s="389" t="e">
        <f t="shared" si="48"/>
        <v>#N/A</v>
      </c>
      <c r="AD99" s="390">
        <f t="shared" si="49"/>
        <v>0</v>
      </c>
      <c r="AE99" s="390">
        <f t="shared" si="50"/>
        <v>0</v>
      </c>
      <c r="AF99" s="391">
        <f t="shared" si="51"/>
        <v>0</v>
      </c>
      <c r="AG99" s="392">
        <f t="shared" si="52"/>
        <v>0</v>
      </c>
      <c r="AH99" s="392">
        <f t="shared" si="53"/>
        <v>0</v>
      </c>
      <c r="AI99" s="392">
        <f t="shared" si="54"/>
        <v>0</v>
      </c>
      <c r="AJ99" s="393">
        <f t="shared" si="55"/>
        <v>0</v>
      </c>
      <c r="AK99" s="391">
        <f t="shared" si="56"/>
        <v>0</v>
      </c>
      <c r="AL99" s="391">
        <f t="shared" si="57"/>
        <v>0</v>
      </c>
      <c r="AM99" s="391">
        <f t="shared" si="58"/>
        <v>0</v>
      </c>
      <c r="AN99" s="391">
        <f t="shared" si="59"/>
        <v>0</v>
      </c>
      <c r="AO99" s="403">
        <f t="shared" si="60"/>
        <v>0</v>
      </c>
      <c r="AP99" s="405"/>
      <c r="AQ99" s="390" t="e">
        <f t="shared" si="61"/>
        <v>#N/A</v>
      </c>
      <c r="AR99" s="408">
        <f t="shared" si="62"/>
        <v>0</v>
      </c>
      <c r="AS99" s="409" t="str">
        <f t="shared" si="47"/>
        <v/>
      </c>
      <c r="AT99" s="416"/>
    </row>
    <row r="100" spans="1:46" ht="15" x14ac:dyDescent="0.25">
      <c r="A100" s="592">
        <v>97</v>
      </c>
      <c r="B100" s="604"/>
      <c r="C100" s="302"/>
      <c r="D100" s="304"/>
      <c r="E100" s="306"/>
      <c r="F100" s="698"/>
      <c r="G100" s="304"/>
      <c r="H100" s="304"/>
      <c r="I100" s="304"/>
      <c r="J100" s="304"/>
      <c r="K100" s="307"/>
      <c r="L100" s="590" t="str">
        <f t="shared" si="46"/>
        <v/>
      </c>
      <c r="M100" s="416"/>
      <c r="N100" s="405"/>
      <c r="O100" s="468" t="str">
        <f t="shared" si="63"/>
        <v xml:space="preserve"> </v>
      </c>
      <c r="P100" s="468" t="str">
        <f t="shared" si="64"/>
        <v xml:space="preserve"> </v>
      </c>
      <c r="Q100" s="468" t="str">
        <f t="shared" si="65"/>
        <v xml:space="preserve"> </v>
      </c>
      <c r="R100" s="468" t="str">
        <f t="shared" si="66"/>
        <v xml:space="preserve"> </v>
      </c>
      <c r="S100" s="468" t="str">
        <f t="shared" si="67"/>
        <v xml:space="preserve"> </v>
      </c>
      <c r="T100" s="468" t="str">
        <f t="shared" si="68"/>
        <v xml:space="preserve"> </v>
      </c>
      <c r="U100" s="405"/>
      <c r="V100" s="405"/>
      <c r="W100" s="405"/>
      <c r="X100" s="405"/>
      <c r="Y100" s="405"/>
      <c r="Z100" s="405"/>
      <c r="AA100" s="405"/>
      <c r="AB100" s="405"/>
      <c r="AC100" s="389" t="e">
        <f t="shared" si="48"/>
        <v>#N/A</v>
      </c>
      <c r="AD100" s="390">
        <f t="shared" si="49"/>
        <v>0</v>
      </c>
      <c r="AE100" s="390">
        <f t="shared" si="50"/>
        <v>0</v>
      </c>
      <c r="AF100" s="391">
        <f t="shared" si="51"/>
        <v>0</v>
      </c>
      <c r="AG100" s="392">
        <f t="shared" si="52"/>
        <v>0</v>
      </c>
      <c r="AH100" s="392">
        <f t="shared" si="53"/>
        <v>0</v>
      </c>
      <c r="AI100" s="392">
        <f t="shared" si="54"/>
        <v>0</v>
      </c>
      <c r="AJ100" s="393">
        <f t="shared" si="55"/>
        <v>0</v>
      </c>
      <c r="AK100" s="391">
        <f t="shared" si="56"/>
        <v>0</v>
      </c>
      <c r="AL100" s="391">
        <f t="shared" si="57"/>
        <v>0</v>
      </c>
      <c r="AM100" s="391">
        <f t="shared" si="58"/>
        <v>0</v>
      </c>
      <c r="AN100" s="391">
        <f t="shared" si="59"/>
        <v>0</v>
      </c>
      <c r="AO100" s="403">
        <f t="shared" si="60"/>
        <v>0</v>
      </c>
      <c r="AP100" s="405"/>
      <c r="AQ100" s="390" t="e">
        <f t="shared" si="61"/>
        <v>#N/A</v>
      </c>
      <c r="AR100" s="408">
        <f t="shared" si="62"/>
        <v>0</v>
      </c>
      <c r="AS100" s="409" t="str">
        <f t="shared" si="47"/>
        <v/>
      </c>
      <c r="AT100" s="416"/>
    </row>
    <row r="101" spans="1:46" ht="15" x14ac:dyDescent="0.25">
      <c r="A101" s="592">
        <v>98</v>
      </c>
      <c r="B101" s="604"/>
      <c r="C101" s="302"/>
      <c r="D101" s="304"/>
      <c r="E101" s="306"/>
      <c r="F101" s="698"/>
      <c r="G101" s="304"/>
      <c r="H101" s="304"/>
      <c r="I101" s="304"/>
      <c r="J101" s="304"/>
      <c r="K101" s="307"/>
      <c r="L101" s="590" t="str">
        <f t="shared" si="46"/>
        <v/>
      </c>
      <c r="M101" s="416"/>
      <c r="N101" s="405"/>
      <c r="O101" s="468" t="str">
        <f t="shared" si="63"/>
        <v xml:space="preserve"> </v>
      </c>
      <c r="P101" s="468" t="str">
        <f t="shared" si="64"/>
        <v xml:space="preserve"> </v>
      </c>
      <c r="Q101" s="468" t="str">
        <f t="shared" si="65"/>
        <v xml:space="preserve"> </v>
      </c>
      <c r="R101" s="468" t="str">
        <f t="shared" si="66"/>
        <v xml:space="preserve"> </v>
      </c>
      <c r="S101" s="468" t="str">
        <f t="shared" si="67"/>
        <v xml:space="preserve"> </v>
      </c>
      <c r="T101" s="468" t="str">
        <f t="shared" si="68"/>
        <v xml:space="preserve"> </v>
      </c>
      <c r="U101" s="405"/>
      <c r="V101" s="405"/>
      <c r="W101" s="405"/>
      <c r="X101" s="405"/>
      <c r="Y101" s="405"/>
      <c r="Z101" s="405"/>
      <c r="AA101" s="405"/>
      <c r="AB101" s="405"/>
      <c r="AC101" s="389" t="e">
        <f t="shared" si="48"/>
        <v>#N/A</v>
      </c>
      <c r="AD101" s="390">
        <f t="shared" si="49"/>
        <v>0</v>
      </c>
      <c r="AE101" s="390">
        <f t="shared" si="50"/>
        <v>0</v>
      </c>
      <c r="AF101" s="391">
        <f t="shared" si="51"/>
        <v>0</v>
      </c>
      <c r="AG101" s="392">
        <f t="shared" si="52"/>
        <v>0</v>
      </c>
      <c r="AH101" s="392">
        <f t="shared" si="53"/>
        <v>0</v>
      </c>
      <c r="AI101" s="392">
        <f t="shared" si="54"/>
        <v>0</v>
      </c>
      <c r="AJ101" s="393">
        <f t="shared" si="55"/>
        <v>0</v>
      </c>
      <c r="AK101" s="391">
        <f t="shared" si="56"/>
        <v>0</v>
      </c>
      <c r="AL101" s="391">
        <f t="shared" si="57"/>
        <v>0</v>
      </c>
      <c r="AM101" s="391">
        <f t="shared" si="58"/>
        <v>0</v>
      </c>
      <c r="AN101" s="391">
        <f t="shared" si="59"/>
        <v>0</v>
      </c>
      <c r="AO101" s="403">
        <f t="shared" si="60"/>
        <v>0</v>
      </c>
      <c r="AP101" s="405"/>
      <c r="AQ101" s="390" t="e">
        <f t="shared" si="61"/>
        <v>#N/A</v>
      </c>
      <c r="AR101" s="408">
        <f t="shared" si="62"/>
        <v>0</v>
      </c>
      <c r="AS101" s="409" t="str">
        <f t="shared" si="47"/>
        <v/>
      </c>
      <c r="AT101" s="416"/>
    </row>
    <row r="102" spans="1:46" ht="15" x14ac:dyDescent="0.25">
      <c r="A102" s="592">
        <v>99</v>
      </c>
      <c r="B102" s="604"/>
      <c r="C102" s="302"/>
      <c r="D102" s="304"/>
      <c r="E102" s="306"/>
      <c r="F102" s="698"/>
      <c r="G102" s="304"/>
      <c r="H102" s="304"/>
      <c r="I102" s="304"/>
      <c r="J102" s="304"/>
      <c r="K102" s="307"/>
      <c r="L102" s="590" t="str">
        <f t="shared" si="46"/>
        <v/>
      </c>
      <c r="M102" s="416"/>
      <c r="N102" s="405"/>
      <c r="O102" s="468" t="str">
        <f t="shared" si="63"/>
        <v xml:space="preserve"> </v>
      </c>
      <c r="P102" s="468" t="str">
        <f t="shared" si="64"/>
        <v xml:space="preserve"> </v>
      </c>
      <c r="Q102" s="468" t="str">
        <f t="shared" si="65"/>
        <v xml:space="preserve"> </v>
      </c>
      <c r="R102" s="468" t="str">
        <f t="shared" si="66"/>
        <v xml:space="preserve"> </v>
      </c>
      <c r="S102" s="468" t="str">
        <f t="shared" si="67"/>
        <v xml:space="preserve"> </v>
      </c>
      <c r="T102" s="468" t="str">
        <f t="shared" si="68"/>
        <v xml:space="preserve"> </v>
      </c>
      <c r="U102" s="405"/>
      <c r="V102" s="405"/>
      <c r="W102" s="405"/>
      <c r="X102" s="405"/>
      <c r="Y102" s="405"/>
      <c r="Z102" s="405"/>
      <c r="AA102" s="405"/>
      <c r="AB102" s="405"/>
      <c r="AC102" s="389" t="e">
        <f t="shared" si="48"/>
        <v>#N/A</v>
      </c>
      <c r="AD102" s="390">
        <f t="shared" si="49"/>
        <v>0</v>
      </c>
      <c r="AE102" s="390">
        <f t="shared" si="50"/>
        <v>0</v>
      </c>
      <c r="AF102" s="391">
        <f t="shared" si="51"/>
        <v>0</v>
      </c>
      <c r="AG102" s="392">
        <f t="shared" si="52"/>
        <v>0</v>
      </c>
      <c r="AH102" s="392">
        <f t="shared" si="53"/>
        <v>0</v>
      </c>
      <c r="AI102" s="392">
        <f t="shared" si="54"/>
        <v>0</v>
      </c>
      <c r="AJ102" s="393">
        <f t="shared" si="55"/>
        <v>0</v>
      </c>
      <c r="AK102" s="391">
        <f t="shared" si="56"/>
        <v>0</v>
      </c>
      <c r="AL102" s="391">
        <f t="shared" si="57"/>
        <v>0</v>
      </c>
      <c r="AM102" s="391">
        <f t="shared" si="58"/>
        <v>0</v>
      </c>
      <c r="AN102" s="391">
        <f t="shared" si="59"/>
        <v>0</v>
      </c>
      <c r="AO102" s="403">
        <f t="shared" si="60"/>
        <v>0</v>
      </c>
      <c r="AP102" s="405"/>
      <c r="AQ102" s="390" t="e">
        <f t="shared" si="61"/>
        <v>#N/A</v>
      </c>
      <c r="AR102" s="408">
        <f t="shared" si="62"/>
        <v>0</v>
      </c>
      <c r="AS102" s="409" t="str">
        <f t="shared" si="47"/>
        <v/>
      </c>
      <c r="AT102" s="416"/>
    </row>
    <row r="103" spans="1:46" ht="15" x14ac:dyDescent="0.25">
      <c r="A103" s="592">
        <v>100</v>
      </c>
      <c r="B103" s="604"/>
      <c r="C103" s="302"/>
      <c r="D103" s="304"/>
      <c r="E103" s="306"/>
      <c r="F103" s="698"/>
      <c r="G103" s="304"/>
      <c r="H103" s="304"/>
      <c r="I103" s="304"/>
      <c r="J103" s="304"/>
      <c r="K103" s="307"/>
      <c r="L103" s="590" t="str">
        <f t="shared" si="46"/>
        <v/>
      </c>
      <c r="M103" s="416"/>
      <c r="N103" s="405"/>
      <c r="O103" s="468" t="str">
        <f t="shared" si="63"/>
        <v xml:space="preserve"> </v>
      </c>
      <c r="P103" s="468" t="str">
        <f t="shared" si="64"/>
        <v xml:space="preserve"> </v>
      </c>
      <c r="Q103" s="468" t="str">
        <f t="shared" si="65"/>
        <v xml:space="preserve"> </v>
      </c>
      <c r="R103" s="468" t="str">
        <f t="shared" si="66"/>
        <v xml:space="preserve"> </v>
      </c>
      <c r="S103" s="468" t="str">
        <f t="shared" si="67"/>
        <v xml:space="preserve"> </v>
      </c>
      <c r="T103" s="468" t="str">
        <f t="shared" si="68"/>
        <v xml:space="preserve"> </v>
      </c>
      <c r="U103" s="405"/>
      <c r="V103" s="405"/>
      <c r="W103" s="405"/>
      <c r="X103" s="405"/>
      <c r="Y103" s="405"/>
      <c r="Z103" s="405"/>
      <c r="AA103" s="405"/>
      <c r="AB103" s="405"/>
      <c r="AC103" s="389" t="e">
        <f t="shared" si="48"/>
        <v>#N/A</v>
      </c>
      <c r="AD103" s="390">
        <f t="shared" si="49"/>
        <v>0</v>
      </c>
      <c r="AE103" s="390">
        <f t="shared" si="50"/>
        <v>0</v>
      </c>
      <c r="AF103" s="391">
        <f t="shared" si="51"/>
        <v>0</v>
      </c>
      <c r="AG103" s="392">
        <f t="shared" si="52"/>
        <v>0</v>
      </c>
      <c r="AH103" s="392">
        <f t="shared" si="53"/>
        <v>0</v>
      </c>
      <c r="AI103" s="392">
        <f t="shared" si="54"/>
        <v>0</v>
      </c>
      <c r="AJ103" s="393">
        <f t="shared" si="55"/>
        <v>0</v>
      </c>
      <c r="AK103" s="391">
        <f t="shared" si="56"/>
        <v>0</v>
      </c>
      <c r="AL103" s="391">
        <f t="shared" si="57"/>
        <v>0</v>
      </c>
      <c r="AM103" s="391">
        <f t="shared" si="58"/>
        <v>0</v>
      </c>
      <c r="AN103" s="391">
        <f t="shared" si="59"/>
        <v>0</v>
      </c>
      <c r="AO103" s="403">
        <f t="shared" si="60"/>
        <v>0</v>
      </c>
      <c r="AP103" s="405"/>
      <c r="AQ103" s="390" t="e">
        <f t="shared" si="61"/>
        <v>#N/A</v>
      </c>
      <c r="AR103" s="408">
        <f t="shared" si="62"/>
        <v>0</v>
      </c>
      <c r="AS103" s="409" t="str">
        <f t="shared" si="47"/>
        <v/>
      </c>
      <c r="AT103" s="416"/>
    </row>
    <row r="104" spans="1:46" ht="15" x14ac:dyDescent="0.25">
      <c r="A104" s="592">
        <v>101</v>
      </c>
      <c r="B104" s="604"/>
      <c r="C104" s="302"/>
      <c r="D104" s="304"/>
      <c r="E104" s="306"/>
      <c r="F104" s="698"/>
      <c r="G104" s="304"/>
      <c r="H104" s="304"/>
      <c r="I104" s="304"/>
      <c r="J104" s="304"/>
      <c r="K104" s="307"/>
      <c r="L104" s="590" t="str">
        <f t="shared" si="46"/>
        <v/>
      </c>
      <c r="M104" s="416"/>
      <c r="N104" s="405"/>
      <c r="O104" s="468" t="str">
        <f t="shared" si="63"/>
        <v xml:space="preserve"> </v>
      </c>
      <c r="P104" s="468" t="str">
        <f t="shared" si="64"/>
        <v xml:space="preserve"> </v>
      </c>
      <c r="Q104" s="468" t="str">
        <f t="shared" si="65"/>
        <v xml:space="preserve"> </v>
      </c>
      <c r="R104" s="468" t="str">
        <f t="shared" si="66"/>
        <v xml:space="preserve"> </v>
      </c>
      <c r="S104" s="468" t="str">
        <f t="shared" si="67"/>
        <v xml:space="preserve"> </v>
      </c>
      <c r="T104" s="468" t="str">
        <f t="shared" si="68"/>
        <v xml:space="preserve"> </v>
      </c>
      <c r="U104" s="405"/>
      <c r="V104" s="405"/>
      <c r="W104" s="405"/>
      <c r="X104" s="405"/>
      <c r="Y104" s="405"/>
      <c r="Z104" s="405"/>
      <c r="AA104" s="405"/>
      <c r="AB104" s="405"/>
      <c r="AC104" s="389" t="e">
        <f t="shared" si="48"/>
        <v>#N/A</v>
      </c>
      <c r="AD104" s="390">
        <f t="shared" si="49"/>
        <v>0</v>
      </c>
      <c r="AE104" s="390">
        <f t="shared" si="50"/>
        <v>0</v>
      </c>
      <c r="AF104" s="391">
        <f t="shared" si="51"/>
        <v>0</v>
      </c>
      <c r="AG104" s="392">
        <f t="shared" si="52"/>
        <v>0</v>
      </c>
      <c r="AH104" s="392">
        <f t="shared" si="53"/>
        <v>0</v>
      </c>
      <c r="AI104" s="392">
        <f t="shared" si="54"/>
        <v>0</v>
      </c>
      <c r="AJ104" s="393">
        <f t="shared" si="55"/>
        <v>0</v>
      </c>
      <c r="AK104" s="391">
        <f t="shared" si="56"/>
        <v>0</v>
      </c>
      <c r="AL104" s="391">
        <f t="shared" si="57"/>
        <v>0</v>
      </c>
      <c r="AM104" s="391">
        <f t="shared" si="58"/>
        <v>0</v>
      </c>
      <c r="AN104" s="391">
        <f t="shared" si="59"/>
        <v>0</v>
      </c>
      <c r="AO104" s="403">
        <f t="shared" si="60"/>
        <v>0</v>
      </c>
      <c r="AP104" s="405"/>
      <c r="AQ104" s="390" t="e">
        <f t="shared" si="61"/>
        <v>#N/A</v>
      </c>
      <c r="AR104" s="408">
        <f t="shared" si="62"/>
        <v>0</v>
      </c>
      <c r="AS104" s="409" t="str">
        <f t="shared" si="47"/>
        <v/>
      </c>
      <c r="AT104" s="416"/>
    </row>
    <row r="105" spans="1:46" ht="15" x14ac:dyDescent="0.25">
      <c r="A105" s="592">
        <v>102</v>
      </c>
      <c r="B105" s="604"/>
      <c r="C105" s="302"/>
      <c r="D105" s="304"/>
      <c r="E105" s="306"/>
      <c r="F105" s="698"/>
      <c r="G105" s="304"/>
      <c r="H105" s="304"/>
      <c r="I105" s="304"/>
      <c r="J105" s="304"/>
      <c r="K105" s="307"/>
      <c r="L105" s="590" t="str">
        <f t="shared" si="46"/>
        <v/>
      </c>
      <c r="M105" s="416"/>
      <c r="N105" s="405"/>
      <c r="O105" s="468" t="str">
        <f t="shared" si="63"/>
        <v xml:space="preserve"> </v>
      </c>
      <c r="P105" s="468" t="str">
        <f t="shared" si="64"/>
        <v xml:space="preserve"> </v>
      </c>
      <c r="Q105" s="468" t="str">
        <f t="shared" si="65"/>
        <v xml:space="preserve"> </v>
      </c>
      <c r="R105" s="468" t="str">
        <f t="shared" si="66"/>
        <v xml:space="preserve"> </v>
      </c>
      <c r="S105" s="468" t="str">
        <f t="shared" si="67"/>
        <v xml:space="preserve"> </v>
      </c>
      <c r="T105" s="468" t="str">
        <f t="shared" si="68"/>
        <v xml:space="preserve"> </v>
      </c>
      <c r="U105" s="405"/>
      <c r="V105" s="405"/>
      <c r="W105" s="405"/>
      <c r="X105" s="405"/>
      <c r="Y105" s="405"/>
      <c r="Z105" s="405"/>
      <c r="AA105" s="405"/>
      <c r="AB105" s="405"/>
      <c r="AC105" s="389" t="e">
        <f t="shared" si="48"/>
        <v>#N/A</v>
      </c>
      <c r="AD105" s="390">
        <f t="shared" si="49"/>
        <v>0</v>
      </c>
      <c r="AE105" s="390">
        <f t="shared" si="50"/>
        <v>0</v>
      </c>
      <c r="AF105" s="391">
        <f t="shared" si="51"/>
        <v>0</v>
      </c>
      <c r="AG105" s="392">
        <f t="shared" si="52"/>
        <v>0</v>
      </c>
      <c r="AH105" s="392">
        <f t="shared" si="53"/>
        <v>0</v>
      </c>
      <c r="AI105" s="392">
        <f t="shared" si="54"/>
        <v>0</v>
      </c>
      <c r="AJ105" s="393">
        <f t="shared" si="55"/>
        <v>0</v>
      </c>
      <c r="AK105" s="391">
        <f t="shared" si="56"/>
        <v>0</v>
      </c>
      <c r="AL105" s="391">
        <f t="shared" si="57"/>
        <v>0</v>
      </c>
      <c r="AM105" s="391">
        <f t="shared" si="58"/>
        <v>0</v>
      </c>
      <c r="AN105" s="391">
        <f t="shared" si="59"/>
        <v>0</v>
      </c>
      <c r="AO105" s="403">
        <f t="shared" si="60"/>
        <v>0</v>
      </c>
      <c r="AP105" s="405"/>
      <c r="AQ105" s="390" t="e">
        <f t="shared" si="61"/>
        <v>#N/A</v>
      </c>
      <c r="AR105" s="408">
        <f t="shared" si="62"/>
        <v>0</v>
      </c>
      <c r="AS105" s="409" t="str">
        <f t="shared" si="47"/>
        <v/>
      </c>
      <c r="AT105" s="416"/>
    </row>
    <row r="106" spans="1:46" ht="15" x14ac:dyDescent="0.25">
      <c r="A106" s="592">
        <v>103</v>
      </c>
      <c r="B106" s="604"/>
      <c r="C106" s="302"/>
      <c r="D106" s="304"/>
      <c r="E106" s="306"/>
      <c r="F106" s="698"/>
      <c r="G106" s="304"/>
      <c r="H106" s="304"/>
      <c r="I106" s="304"/>
      <c r="J106" s="304"/>
      <c r="K106" s="307"/>
      <c r="L106" s="590" t="str">
        <f t="shared" si="46"/>
        <v/>
      </c>
      <c r="M106" s="416"/>
      <c r="N106" s="405"/>
      <c r="O106" s="468" t="str">
        <f t="shared" si="63"/>
        <v xml:space="preserve"> </v>
      </c>
      <c r="P106" s="468" t="str">
        <f t="shared" si="64"/>
        <v xml:space="preserve"> </v>
      </c>
      <c r="Q106" s="468" t="str">
        <f t="shared" si="65"/>
        <v xml:space="preserve"> </v>
      </c>
      <c r="R106" s="468" t="str">
        <f t="shared" si="66"/>
        <v xml:space="preserve"> </v>
      </c>
      <c r="S106" s="468" t="str">
        <f t="shared" si="67"/>
        <v xml:space="preserve"> </v>
      </c>
      <c r="T106" s="468" t="str">
        <f t="shared" si="68"/>
        <v xml:space="preserve"> </v>
      </c>
      <c r="U106" s="405"/>
      <c r="V106" s="405"/>
      <c r="W106" s="405"/>
      <c r="X106" s="405"/>
      <c r="Y106" s="405"/>
      <c r="Z106" s="405"/>
      <c r="AA106" s="405"/>
      <c r="AB106" s="405"/>
      <c r="AC106" s="389" t="e">
        <f t="shared" si="48"/>
        <v>#N/A</v>
      </c>
      <c r="AD106" s="390">
        <f t="shared" si="49"/>
        <v>0</v>
      </c>
      <c r="AE106" s="390">
        <f t="shared" si="50"/>
        <v>0</v>
      </c>
      <c r="AF106" s="391">
        <f t="shared" si="51"/>
        <v>0</v>
      </c>
      <c r="AG106" s="392">
        <f t="shared" si="52"/>
        <v>0</v>
      </c>
      <c r="AH106" s="392">
        <f t="shared" si="53"/>
        <v>0</v>
      </c>
      <c r="AI106" s="392">
        <f t="shared" si="54"/>
        <v>0</v>
      </c>
      <c r="AJ106" s="393">
        <f t="shared" si="55"/>
        <v>0</v>
      </c>
      <c r="AK106" s="391">
        <f t="shared" si="56"/>
        <v>0</v>
      </c>
      <c r="AL106" s="391">
        <f t="shared" si="57"/>
        <v>0</v>
      </c>
      <c r="AM106" s="391">
        <f t="shared" si="58"/>
        <v>0</v>
      </c>
      <c r="AN106" s="391">
        <f t="shared" si="59"/>
        <v>0</v>
      </c>
      <c r="AO106" s="403">
        <f t="shared" si="60"/>
        <v>0</v>
      </c>
      <c r="AP106" s="405"/>
      <c r="AQ106" s="390" t="e">
        <f t="shared" si="61"/>
        <v>#N/A</v>
      </c>
      <c r="AR106" s="408">
        <f t="shared" si="62"/>
        <v>0</v>
      </c>
      <c r="AS106" s="409" t="str">
        <f t="shared" si="47"/>
        <v/>
      </c>
      <c r="AT106" s="416"/>
    </row>
    <row r="107" spans="1:46" ht="15" x14ac:dyDescent="0.25">
      <c r="A107" s="592">
        <v>104</v>
      </c>
      <c r="B107" s="604"/>
      <c r="C107" s="302"/>
      <c r="D107" s="304"/>
      <c r="E107" s="306"/>
      <c r="F107" s="698"/>
      <c r="G107" s="304"/>
      <c r="H107" s="304"/>
      <c r="I107" s="304"/>
      <c r="J107" s="304"/>
      <c r="K107" s="307"/>
      <c r="L107" s="590" t="str">
        <f t="shared" si="46"/>
        <v/>
      </c>
      <c r="M107" s="416"/>
      <c r="N107" s="405"/>
      <c r="O107" s="468" t="str">
        <f t="shared" si="63"/>
        <v xml:space="preserve"> </v>
      </c>
      <c r="P107" s="468" t="str">
        <f t="shared" si="64"/>
        <v xml:space="preserve"> </v>
      </c>
      <c r="Q107" s="468" t="str">
        <f t="shared" si="65"/>
        <v xml:space="preserve"> </v>
      </c>
      <c r="R107" s="468" t="str">
        <f t="shared" si="66"/>
        <v xml:space="preserve"> </v>
      </c>
      <c r="S107" s="468" t="str">
        <f t="shared" si="67"/>
        <v xml:space="preserve"> </v>
      </c>
      <c r="T107" s="468" t="str">
        <f t="shared" si="68"/>
        <v xml:space="preserve"> </v>
      </c>
      <c r="U107" s="405"/>
      <c r="V107" s="405"/>
      <c r="W107" s="405"/>
      <c r="X107" s="405"/>
      <c r="Y107" s="405"/>
      <c r="Z107" s="405"/>
      <c r="AA107" s="405"/>
      <c r="AB107" s="405"/>
      <c r="AC107" s="389" t="e">
        <f t="shared" si="48"/>
        <v>#N/A</v>
      </c>
      <c r="AD107" s="390">
        <f t="shared" si="49"/>
        <v>0</v>
      </c>
      <c r="AE107" s="390">
        <f t="shared" si="50"/>
        <v>0</v>
      </c>
      <c r="AF107" s="391">
        <f t="shared" si="51"/>
        <v>0</v>
      </c>
      <c r="AG107" s="392">
        <f t="shared" si="52"/>
        <v>0</v>
      </c>
      <c r="AH107" s="392">
        <f t="shared" si="53"/>
        <v>0</v>
      </c>
      <c r="AI107" s="392">
        <f t="shared" si="54"/>
        <v>0</v>
      </c>
      <c r="AJ107" s="393">
        <f t="shared" si="55"/>
        <v>0</v>
      </c>
      <c r="AK107" s="391">
        <f t="shared" si="56"/>
        <v>0</v>
      </c>
      <c r="AL107" s="391">
        <f t="shared" si="57"/>
        <v>0</v>
      </c>
      <c r="AM107" s="391">
        <f t="shared" si="58"/>
        <v>0</v>
      </c>
      <c r="AN107" s="391">
        <f t="shared" si="59"/>
        <v>0</v>
      </c>
      <c r="AO107" s="403">
        <f t="shared" si="60"/>
        <v>0</v>
      </c>
      <c r="AP107" s="405"/>
      <c r="AQ107" s="390" t="e">
        <f t="shared" si="61"/>
        <v>#N/A</v>
      </c>
      <c r="AR107" s="408">
        <f t="shared" si="62"/>
        <v>0</v>
      </c>
      <c r="AS107" s="409" t="str">
        <f t="shared" si="47"/>
        <v/>
      </c>
      <c r="AT107" s="416"/>
    </row>
    <row r="108" spans="1:46" ht="15" x14ac:dyDescent="0.25">
      <c r="A108" s="592">
        <v>105</v>
      </c>
      <c r="B108" s="604"/>
      <c r="C108" s="302"/>
      <c r="D108" s="304"/>
      <c r="E108" s="306"/>
      <c r="F108" s="698"/>
      <c r="G108" s="304"/>
      <c r="H108" s="304"/>
      <c r="I108" s="304"/>
      <c r="J108" s="304"/>
      <c r="K108" s="307"/>
      <c r="L108" s="590" t="str">
        <f t="shared" si="46"/>
        <v/>
      </c>
      <c r="M108" s="416"/>
      <c r="N108" s="405"/>
      <c r="O108" s="468" t="str">
        <f t="shared" si="63"/>
        <v xml:space="preserve"> </v>
      </c>
      <c r="P108" s="468" t="str">
        <f t="shared" si="64"/>
        <v xml:space="preserve"> </v>
      </c>
      <c r="Q108" s="468" t="str">
        <f t="shared" si="65"/>
        <v xml:space="preserve"> </v>
      </c>
      <c r="R108" s="468" t="str">
        <f t="shared" si="66"/>
        <v xml:space="preserve"> </v>
      </c>
      <c r="S108" s="468" t="str">
        <f t="shared" si="67"/>
        <v xml:space="preserve"> </v>
      </c>
      <c r="T108" s="468" t="str">
        <f t="shared" si="68"/>
        <v xml:space="preserve"> </v>
      </c>
      <c r="U108" s="405"/>
      <c r="V108" s="405"/>
      <c r="W108" s="405"/>
      <c r="X108" s="405"/>
      <c r="Y108" s="405"/>
      <c r="Z108" s="405"/>
      <c r="AA108" s="405"/>
      <c r="AB108" s="405"/>
      <c r="AC108" s="389" t="e">
        <f t="shared" si="48"/>
        <v>#N/A</v>
      </c>
      <c r="AD108" s="390">
        <f t="shared" si="49"/>
        <v>0</v>
      </c>
      <c r="AE108" s="390">
        <f t="shared" si="50"/>
        <v>0</v>
      </c>
      <c r="AF108" s="391">
        <f t="shared" si="51"/>
        <v>0</v>
      </c>
      <c r="AG108" s="392">
        <f t="shared" si="52"/>
        <v>0</v>
      </c>
      <c r="AH108" s="392">
        <f t="shared" si="53"/>
        <v>0</v>
      </c>
      <c r="AI108" s="392">
        <f t="shared" si="54"/>
        <v>0</v>
      </c>
      <c r="AJ108" s="393">
        <f t="shared" si="55"/>
        <v>0</v>
      </c>
      <c r="AK108" s="391">
        <f t="shared" si="56"/>
        <v>0</v>
      </c>
      <c r="AL108" s="391">
        <f t="shared" si="57"/>
        <v>0</v>
      </c>
      <c r="AM108" s="391">
        <f t="shared" si="58"/>
        <v>0</v>
      </c>
      <c r="AN108" s="391">
        <f t="shared" si="59"/>
        <v>0</v>
      </c>
      <c r="AO108" s="403">
        <f t="shared" si="60"/>
        <v>0</v>
      </c>
      <c r="AP108" s="405"/>
      <c r="AQ108" s="390" t="e">
        <f t="shared" si="61"/>
        <v>#N/A</v>
      </c>
      <c r="AR108" s="408">
        <f t="shared" si="62"/>
        <v>0</v>
      </c>
      <c r="AS108" s="409" t="str">
        <f t="shared" si="47"/>
        <v/>
      </c>
      <c r="AT108" s="416"/>
    </row>
    <row r="109" spans="1:46" ht="15" x14ac:dyDescent="0.25">
      <c r="A109" s="592">
        <v>106</v>
      </c>
      <c r="B109" s="604"/>
      <c r="C109" s="302"/>
      <c r="D109" s="304"/>
      <c r="E109" s="306"/>
      <c r="F109" s="698"/>
      <c r="G109" s="304"/>
      <c r="H109" s="304"/>
      <c r="I109" s="304"/>
      <c r="J109" s="304"/>
      <c r="K109" s="307"/>
      <c r="L109" s="590" t="str">
        <f t="shared" si="46"/>
        <v/>
      </c>
      <c r="M109" s="416"/>
      <c r="N109" s="405"/>
      <c r="O109" s="468" t="str">
        <f t="shared" si="63"/>
        <v xml:space="preserve"> </v>
      </c>
      <c r="P109" s="468" t="str">
        <f t="shared" si="64"/>
        <v xml:space="preserve"> </v>
      </c>
      <c r="Q109" s="468" t="str">
        <f t="shared" si="65"/>
        <v xml:space="preserve"> </v>
      </c>
      <c r="R109" s="468" t="str">
        <f t="shared" si="66"/>
        <v xml:space="preserve"> </v>
      </c>
      <c r="S109" s="468" t="str">
        <f t="shared" si="67"/>
        <v xml:space="preserve"> </v>
      </c>
      <c r="T109" s="468" t="str">
        <f t="shared" si="68"/>
        <v xml:space="preserve"> </v>
      </c>
      <c r="U109" s="405"/>
      <c r="V109" s="405"/>
      <c r="W109" s="405"/>
      <c r="X109" s="405"/>
      <c r="Y109" s="405"/>
      <c r="Z109" s="405"/>
      <c r="AA109" s="405"/>
      <c r="AB109" s="405"/>
      <c r="AC109" s="389" t="e">
        <f t="shared" si="48"/>
        <v>#N/A</v>
      </c>
      <c r="AD109" s="390">
        <f t="shared" si="49"/>
        <v>0</v>
      </c>
      <c r="AE109" s="390">
        <f t="shared" si="50"/>
        <v>0</v>
      </c>
      <c r="AF109" s="391">
        <f t="shared" si="51"/>
        <v>0</v>
      </c>
      <c r="AG109" s="392">
        <f t="shared" si="52"/>
        <v>0</v>
      </c>
      <c r="AH109" s="392">
        <f t="shared" si="53"/>
        <v>0</v>
      </c>
      <c r="AI109" s="392">
        <f t="shared" si="54"/>
        <v>0</v>
      </c>
      <c r="AJ109" s="393">
        <f t="shared" si="55"/>
        <v>0</v>
      </c>
      <c r="AK109" s="391">
        <f t="shared" si="56"/>
        <v>0</v>
      </c>
      <c r="AL109" s="391">
        <f t="shared" si="57"/>
        <v>0</v>
      </c>
      <c r="AM109" s="391">
        <f t="shared" si="58"/>
        <v>0</v>
      </c>
      <c r="AN109" s="391">
        <f t="shared" si="59"/>
        <v>0</v>
      </c>
      <c r="AO109" s="403">
        <f t="shared" si="60"/>
        <v>0</v>
      </c>
      <c r="AP109" s="405"/>
      <c r="AQ109" s="390" t="e">
        <f t="shared" si="61"/>
        <v>#N/A</v>
      </c>
      <c r="AR109" s="408">
        <f t="shared" si="62"/>
        <v>0</v>
      </c>
      <c r="AS109" s="409" t="str">
        <f t="shared" si="47"/>
        <v/>
      </c>
      <c r="AT109" s="416"/>
    </row>
    <row r="110" spans="1:46" ht="15" x14ac:dyDescent="0.25">
      <c r="A110" s="592">
        <v>107</v>
      </c>
      <c r="B110" s="604"/>
      <c r="C110" s="302"/>
      <c r="D110" s="304"/>
      <c r="E110" s="306"/>
      <c r="F110" s="698"/>
      <c r="G110" s="304"/>
      <c r="H110" s="304"/>
      <c r="I110" s="304"/>
      <c r="J110" s="304"/>
      <c r="K110" s="307"/>
      <c r="L110" s="590" t="str">
        <f t="shared" si="46"/>
        <v/>
      </c>
      <c r="M110" s="416"/>
      <c r="N110" s="405"/>
      <c r="O110" s="468" t="str">
        <f t="shared" si="63"/>
        <v xml:space="preserve"> </v>
      </c>
      <c r="P110" s="468" t="str">
        <f t="shared" si="64"/>
        <v xml:space="preserve"> </v>
      </c>
      <c r="Q110" s="468" t="str">
        <f t="shared" si="65"/>
        <v xml:space="preserve"> </v>
      </c>
      <c r="R110" s="468" t="str">
        <f t="shared" si="66"/>
        <v xml:space="preserve"> </v>
      </c>
      <c r="S110" s="468" t="str">
        <f t="shared" si="67"/>
        <v xml:space="preserve"> </v>
      </c>
      <c r="T110" s="468" t="str">
        <f t="shared" si="68"/>
        <v xml:space="preserve"> </v>
      </c>
      <c r="U110" s="405"/>
      <c r="V110" s="405"/>
      <c r="W110" s="405"/>
      <c r="X110" s="405"/>
      <c r="Y110" s="405"/>
      <c r="Z110" s="405"/>
      <c r="AA110" s="405"/>
      <c r="AB110" s="405"/>
      <c r="AC110" s="389" t="e">
        <f t="shared" si="48"/>
        <v>#N/A</v>
      </c>
      <c r="AD110" s="390">
        <f t="shared" si="49"/>
        <v>0</v>
      </c>
      <c r="AE110" s="390">
        <f t="shared" si="50"/>
        <v>0</v>
      </c>
      <c r="AF110" s="391">
        <f t="shared" si="51"/>
        <v>0</v>
      </c>
      <c r="AG110" s="392">
        <f t="shared" si="52"/>
        <v>0</v>
      </c>
      <c r="AH110" s="392">
        <f t="shared" si="53"/>
        <v>0</v>
      </c>
      <c r="AI110" s="392">
        <f t="shared" si="54"/>
        <v>0</v>
      </c>
      <c r="AJ110" s="393">
        <f t="shared" si="55"/>
        <v>0</v>
      </c>
      <c r="AK110" s="391">
        <f t="shared" si="56"/>
        <v>0</v>
      </c>
      <c r="AL110" s="391">
        <f t="shared" si="57"/>
        <v>0</v>
      </c>
      <c r="AM110" s="391">
        <f t="shared" si="58"/>
        <v>0</v>
      </c>
      <c r="AN110" s="391">
        <f t="shared" si="59"/>
        <v>0</v>
      </c>
      <c r="AO110" s="403">
        <f t="shared" si="60"/>
        <v>0</v>
      </c>
      <c r="AP110" s="405"/>
      <c r="AQ110" s="390" t="e">
        <f t="shared" si="61"/>
        <v>#N/A</v>
      </c>
      <c r="AR110" s="408">
        <f t="shared" si="62"/>
        <v>0</v>
      </c>
      <c r="AS110" s="409" t="str">
        <f t="shared" si="47"/>
        <v/>
      </c>
      <c r="AT110" s="416"/>
    </row>
    <row r="111" spans="1:46" ht="15" x14ac:dyDescent="0.25">
      <c r="A111" s="592">
        <v>108</v>
      </c>
      <c r="B111" s="604"/>
      <c r="C111" s="302"/>
      <c r="D111" s="304"/>
      <c r="E111" s="306"/>
      <c r="F111" s="698"/>
      <c r="G111" s="304"/>
      <c r="H111" s="304"/>
      <c r="I111" s="304"/>
      <c r="J111" s="304"/>
      <c r="K111" s="307"/>
      <c r="L111" s="590" t="str">
        <f t="shared" si="46"/>
        <v/>
      </c>
      <c r="M111" s="416"/>
      <c r="N111" s="405"/>
      <c r="O111" s="468" t="str">
        <f t="shared" si="63"/>
        <v xml:space="preserve"> </v>
      </c>
      <c r="P111" s="468" t="str">
        <f t="shared" si="64"/>
        <v xml:space="preserve"> </v>
      </c>
      <c r="Q111" s="468" t="str">
        <f t="shared" si="65"/>
        <v xml:space="preserve"> </v>
      </c>
      <c r="R111" s="468" t="str">
        <f t="shared" si="66"/>
        <v xml:space="preserve"> </v>
      </c>
      <c r="S111" s="468" t="str">
        <f t="shared" si="67"/>
        <v xml:space="preserve"> </v>
      </c>
      <c r="T111" s="468" t="str">
        <f t="shared" si="68"/>
        <v xml:space="preserve"> </v>
      </c>
      <c r="U111" s="405"/>
      <c r="V111" s="405"/>
      <c r="W111" s="405"/>
      <c r="X111" s="405"/>
      <c r="Y111" s="405"/>
      <c r="Z111" s="405"/>
      <c r="AA111" s="405"/>
      <c r="AB111" s="405"/>
      <c r="AC111" s="389" t="e">
        <f t="shared" si="48"/>
        <v>#N/A</v>
      </c>
      <c r="AD111" s="390">
        <f t="shared" si="49"/>
        <v>0</v>
      </c>
      <c r="AE111" s="390">
        <f t="shared" si="50"/>
        <v>0</v>
      </c>
      <c r="AF111" s="391">
        <f t="shared" si="51"/>
        <v>0</v>
      </c>
      <c r="AG111" s="392">
        <f t="shared" si="52"/>
        <v>0</v>
      </c>
      <c r="AH111" s="392">
        <f t="shared" si="53"/>
        <v>0</v>
      </c>
      <c r="AI111" s="392">
        <f t="shared" si="54"/>
        <v>0</v>
      </c>
      <c r="AJ111" s="393">
        <f t="shared" si="55"/>
        <v>0</v>
      </c>
      <c r="AK111" s="391">
        <f t="shared" si="56"/>
        <v>0</v>
      </c>
      <c r="AL111" s="391">
        <f t="shared" si="57"/>
        <v>0</v>
      </c>
      <c r="AM111" s="391">
        <f t="shared" si="58"/>
        <v>0</v>
      </c>
      <c r="AN111" s="391">
        <f t="shared" si="59"/>
        <v>0</v>
      </c>
      <c r="AO111" s="403">
        <f t="shared" si="60"/>
        <v>0</v>
      </c>
      <c r="AP111" s="405"/>
      <c r="AQ111" s="390" t="e">
        <f t="shared" si="61"/>
        <v>#N/A</v>
      </c>
      <c r="AR111" s="408">
        <f t="shared" si="62"/>
        <v>0</v>
      </c>
      <c r="AS111" s="409" t="str">
        <f t="shared" si="47"/>
        <v/>
      </c>
      <c r="AT111" s="416"/>
    </row>
    <row r="112" spans="1:46" ht="15" x14ac:dyDescent="0.25">
      <c r="A112" s="592">
        <v>109</v>
      </c>
      <c r="B112" s="604"/>
      <c r="C112" s="302"/>
      <c r="D112" s="304"/>
      <c r="E112" s="306"/>
      <c r="F112" s="698"/>
      <c r="G112" s="304"/>
      <c r="H112" s="304"/>
      <c r="I112" s="304"/>
      <c r="J112" s="304"/>
      <c r="K112" s="307"/>
      <c r="L112" s="590" t="str">
        <f t="shared" si="46"/>
        <v/>
      </c>
      <c r="M112" s="416"/>
      <c r="N112" s="405"/>
      <c r="O112" s="468" t="str">
        <f t="shared" si="63"/>
        <v xml:space="preserve"> </v>
      </c>
      <c r="P112" s="468" t="str">
        <f t="shared" si="64"/>
        <v xml:space="preserve"> </v>
      </c>
      <c r="Q112" s="468" t="str">
        <f t="shared" si="65"/>
        <v xml:space="preserve"> </v>
      </c>
      <c r="R112" s="468" t="str">
        <f t="shared" si="66"/>
        <v xml:space="preserve"> </v>
      </c>
      <c r="S112" s="468" t="str">
        <f t="shared" si="67"/>
        <v xml:space="preserve"> </v>
      </c>
      <c r="T112" s="468" t="str">
        <f t="shared" si="68"/>
        <v xml:space="preserve"> </v>
      </c>
      <c r="U112" s="405"/>
      <c r="V112" s="405"/>
      <c r="W112" s="405"/>
      <c r="X112" s="405"/>
      <c r="Y112" s="405"/>
      <c r="Z112" s="405"/>
      <c r="AA112" s="405"/>
      <c r="AB112" s="405"/>
      <c r="AC112" s="389" t="e">
        <f t="shared" si="48"/>
        <v>#N/A</v>
      </c>
      <c r="AD112" s="390">
        <f t="shared" si="49"/>
        <v>0</v>
      </c>
      <c r="AE112" s="390">
        <f t="shared" si="50"/>
        <v>0</v>
      </c>
      <c r="AF112" s="391">
        <f t="shared" si="51"/>
        <v>0</v>
      </c>
      <c r="AG112" s="392">
        <f t="shared" si="52"/>
        <v>0</v>
      </c>
      <c r="AH112" s="392">
        <f t="shared" si="53"/>
        <v>0</v>
      </c>
      <c r="AI112" s="392">
        <f t="shared" si="54"/>
        <v>0</v>
      </c>
      <c r="AJ112" s="393">
        <f t="shared" si="55"/>
        <v>0</v>
      </c>
      <c r="AK112" s="391">
        <f t="shared" si="56"/>
        <v>0</v>
      </c>
      <c r="AL112" s="391">
        <f t="shared" si="57"/>
        <v>0</v>
      </c>
      <c r="AM112" s="391">
        <f t="shared" si="58"/>
        <v>0</v>
      </c>
      <c r="AN112" s="391">
        <f t="shared" si="59"/>
        <v>0</v>
      </c>
      <c r="AO112" s="403">
        <f t="shared" si="60"/>
        <v>0</v>
      </c>
      <c r="AP112" s="405"/>
      <c r="AQ112" s="390" t="e">
        <f t="shared" si="61"/>
        <v>#N/A</v>
      </c>
      <c r="AR112" s="408">
        <f t="shared" si="62"/>
        <v>0</v>
      </c>
      <c r="AS112" s="409" t="str">
        <f t="shared" si="47"/>
        <v/>
      </c>
      <c r="AT112" s="416"/>
    </row>
    <row r="113" spans="1:46" ht="15" x14ac:dyDescent="0.25">
      <c r="A113" s="592">
        <v>110</v>
      </c>
      <c r="B113" s="604"/>
      <c r="C113" s="302"/>
      <c r="D113" s="304"/>
      <c r="E113" s="306"/>
      <c r="F113" s="698"/>
      <c r="G113" s="304"/>
      <c r="H113" s="304"/>
      <c r="I113" s="304"/>
      <c r="J113" s="304"/>
      <c r="K113" s="307"/>
      <c r="L113" s="590" t="str">
        <f t="shared" si="46"/>
        <v/>
      </c>
      <c r="M113" s="416"/>
      <c r="N113" s="405"/>
      <c r="O113" s="468" t="str">
        <f t="shared" si="63"/>
        <v xml:space="preserve"> </v>
      </c>
      <c r="P113" s="468" t="str">
        <f t="shared" si="64"/>
        <v xml:space="preserve"> </v>
      </c>
      <c r="Q113" s="468" t="str">
        <f t="shared" si="65"/>
        <v xml:space="preserve"> </v>
      </c>
      <c r="R113" s="468" t="str">
        <f t="shared" si="66"/>
        <v xml:space="preserve"> </v>
      </c>
      <c r="S113" s="468" t="str">
        <f t="shared" si="67"/>
        <v xml:space="preserve"> </v>
      </c>
      <c r="T113" s="468" t="str">
        <f t="shared" si="68"/>
        <v xml:space="preserve"> </v>
      </c>
      <c r="U113" s="405"/>
      <c r="V113" s="405"/>
      <c r="W113" s="405"/>
      <c r="X113" s="405"/>
      <c r="Y113" s="405"/>
      <c r="Z113" s="405"/>
      <c r="AA113" s="405"/>
      <c r="AB113" s="405"/>
      <c r="AC113" s="389" t="e">
        <f t="shared" si="48"/>
        <v>#N/A</v>
      </c>
      <c r="AD113" s="390">
        <f t="shared" si="49"/>
        <v>0</v>
      </c>
      <c r="AE113" s="390">
        <f t="shared" si="50"/>
        <v>0</v>
      </c>
      <c r="AF113" s="391">
        <f t="shared" si="51"/>
        <v>0</v>
      </c>
      <c r="AG113" s="392">
        <f t="shared" si="52"/>
        <v>0</v>
      </c>
      <c r="AH113" s="392">
        <f t="shared" si="53"/>
        <v>0</v>
      </c>
      <c r="AI113" s="392">
        <f t="shared" si="54"/>
        <v>0</v>
      </c>
      <c r="AJ113" s="393">
        <f t="shared" si="55"/>
        <v>0</v>
      </c>
      <c r="AK113" s="391">
        <f t="shared" si="56"/>
        <v>0</v>
      </c>
      <c r="AL113" s="391">
        <f t="shared" si="57"/>
        <v>0</v>
      </c>
      <c r="AM113" s="391">
        <f t="shared" si="58"/>
        <v>0</v>
      </c>
      <c r="AN113" s="391">
        <f t="shared" si="59"/>
        <v>0</v>
      </c>
      <c r="AO113" s="403">
        <f t="shared" si="60"/>
        <v>0</v>
      </c>
      <c r="AP113" s="405"/>
      <c r="AQ113" s="390" t="e">
        <f t="shared" si="61"/>
        <v>#N/A</v>
      </c>
      <c r="AR113" s="408">
        <f t="shared" si="62"/>
        <v>0</v>
      </c>
      <c r="AS113" s="409" t="str">
        <f t="shared" si="47"/>
        <v/>
      </c>
      <c r="AT113" s="416"/>
    </row>
    <row r="114" spans="1:46" ht="15" x14ac:dyDescent="0.25">
      <c r="A114" s="592">
        <v>111</v>
      </c>
      <c r="B114" s="604"/>
      <c r="C114" s="302"/>
      <c r="D114" s="304"/>
      <c r="E114" s="306"/>
      <c r="F114" s="698"/>
      <c r="G114" s="304"/>
      <c r="H114" s="304"/>
      <c r="I114" s="304"/>
      <c r="J114" s="304"/>
      <c r="K114" s="307"/>
      <c r="L114" s="590" t="str">
        <f t="shared" si="46"/>
        <v/>
      </c>
      <c r="M114" s="416"/>
      <c r="N114" s="405"/>
      <c r="O114" s="468" t="str">
        <f t="shared" si="63"/>
        <v xml:space="preserve"> </v>
      </c>
      <c r="P114" s="468" t="str">
        <f t="shared" si="64"/>
        <v xml:space="preserve"> </v>
      </c>
      <c r="Q114" s="468" t="str">
        <f t="shared" si="65"/>
        <v xml:space="preserve"> </v>
      </c>
      <c r="R114" s="468" t="str">
        <f t="shared" si="66"/>
        <v xml:space="preserve"> </v>
      </c>
      <c r="S114" s="468" t="str">
        <f t="shared" si="67"/>
        <v xml:space="preserve"> </v>
      </c>
      <c r="T114" s="468" t="str">
        <f t="shared" si="68"/>
        <v xml:space="preserve"> </v>
      </c>
      <c r="U114" s="405"/>
      <c r="V114" s="405"/>
      <c r="W114" s="405"/>
      <c r="X114" s="405"/>
      <c r="Y114" s="405"/>
      <c r="Z114" s="405"/>
      <c r="AA114" s="405"/>
      <c r="AB114" s="405"/>
      <c r="AC114" s="389" t="e">
        <f t="shared" si="48"/>
        <v>#N/A</v>
      </c>
      <c r="AD114" s="390">
        <f t="shared" si="49"/>
        <v>0</v>
      </c>
      <c r="AE114" s="390">
        <f t="shared" si="50"/>
        <v>0</v>
      </c>
      <c r="AF114" s="391">
        <f t="shared" si="51"/>
        <v>0</v>
      </c>
      <c r="AG114" s="392">
        <f t="shared" si="52"/>
        <v>0</v>
      </c>
      <c r="AH114" s="392">
        <f t="shared" si="53"/>
        <v>0</v>
      </c>
      <c r="AI114" s="392">
        <f t="shared" si="54"/>
        <v>0</v>
      </c>
      <c r="AJ114" s="393">
        <f t="shared" si="55"/>
        <v>0</v>
      </c>
      <c r="AK114" s="391">
        <f t="shared" si="56"/>
        <v>0</v>
      </c>
      <c r="AL114" s="391">
        <f t="shared" si="57"/>
        <v>0</v>
      </c>
      <c r="AM114" s="391">
        <f t="shared" si="58"/>
        <v>0</v>
      </c>
      <c r="AN114" s="391">
        <f t="shared" si="59"/>
        <v>0</v>
      </c>
      <c r="AO114" s="403">
        <f t="shared" si="60"/>
        <v>0</v>
      </c>
      <c r="AP114" s="405"/>
      <c r="AQ114" s="390" t="e">
        <f t="shared" si="61"/>
        <v>#N/A</v>
      </c>
      <c r="AR114" s="408">
        <f t="shared" si="62"/>
        <v>0</v>
      </c>
      <c r="AS114" s="409" t="str">
        <f t="shared" si="47"/>
        <v/>
      </c>
      <c r="AT114" s="416"/>
    </row>
    <row r="115" spans="1:46" ht="15" x14ac:dyDescent="0.25">
      <c r="A115" s="592">
        <v>112</v>
      </c>
      <c r="B115" s="604"/>
      <c r="C115" s="302"/>
      <c r="D115" s="304"/>
      <c r="E115" s="306"/>
      <c r="F115" s="698"/>
      <c r="G115" s="304"/>
      <c r="H115" s="304"/>
      <c r="I115" s="304"/>
      <c r="J115" s="304"/>
      <c r="K115" s="307"/>
      <c r="L115" s="590" t="str">
        <f t="shared" si="46"/>
        <v/>
      </c>
      <c r="M115" s="416"/>
      <c r="N115" s="405"/>
      <c r="O115" s="468" t="str">
        <f t="shared" si="63"/>
        <v xml:space="preserve"> </v>
      </c>
      <c r="P115" s="468" t="str">
        <f t="shared" si="64"/>
        <v xml:space="preserve"> </v>
      </c>
      <c r="Q115" s="468" t="str">
        <f t="shared" si="65"/>
        <v xml:space="preserve"> </v>
      </c>
      <c r="R115" s="468" t="str">
        <f t="shared" si="66"/>
        <v xml:space="preserve"> </v>
      </c>
      <c r="S115" s="468" t="str">
        <f t="shared" si="67"/>
        <v xml:space="preserve"> </v>
      </c>
      <c r="T115" s="468" t="str">
        <f t="shared" si="68"/>
        <v xml:space="preserve"> </v>
      </c>
      <c r="U115" s="405"/>
      <c r="V115" s="405"/>
      <c r="W115" s="405"/>
      <c r="X115" s="405"/>
      <c r="Y115" s="405"/>
      <c r="Z115" s="405"/>
      <c r="AA115" s="405"/>
      <c r="AB115" s="405"/>
      <c r="AC115" s="389" t="e">
        <f t="shared" si="48"/>
        <v>#N/A</v>
      </c>
      <c r="AD115" s="390">
        <f t="shared" si="49"/>
        <v>0</v>
      </c>
      <c r="AE115" s="390">
        <f t="shared" si="50"/>
        <v>0</v>
      </c>
      <c r="AF115" s="391">
        <f t="shared" si="51"/>
        <v>0</v>
      </c>
      <c r="AG115" s="392">
        <f t="shared" si="52"/>
        <v>0</v>
      </c>
      <c r="AH115" s="392">
        <f t="shared" si="53"/>
        <v>0</v>
      </c>
      <c r="AI115" s="392">
        <f t="shared" si="54"/>
        <v>0</v>
      </c>
      <c r="AJ115" s="393">
        <f t="shared" si="55"/>
        <v>0</v>
      </c>
      <c r="AK115" s="391">
        <f t="shared" si="56"/>
        <v>0</v>
      </c>
      <c r="AL115" s="391">
        <f t="shared" si="57"/>
        <v>0</v>
      </c>
      <c r="AM115" s="391">
        <f t="shared" si="58"/>
        <v>0</v>
      </c>
      <c r="AN115" s="391">
        <f t="shared" si="59"/>
        <v>0</v>
      </c>
      <c r="AO115" s="403">
        <f t="shared" si="60"/>
        <v>0</v>
      </c>
      <c r="AP115" s="405"/>
      <c r="AQ115" s="390" t="e">
        <f t="shared" si="61"/>
        <v>#N/A</v>
      </c>
      <c r="AR115" s="408">
        <f t="shared" si="62"/>
        <v>0</v>
      </c>
      <c r="AS115" s="409" t="str">
        <f t="shared" si="47"/>
        <v/>
      </c>
      <c r="AT115" s="416"/>
    </row>
    <row r="116" spans="1:46" ht="15" x14ac:dyDescent="0.25">
      <c r="A116" s="592">
        <v>113</v>
      </c>
      <c r="B116" s="604"/>
      <c r="C116" s="302"/>
      <c r="D116" s="304"/>
      <c r="E116" s="306"/>
      <c r="F116" s="698"/>
      <c r="G116" s="304"/>
      <c r="H116" s="304"/>
      <c r="I116" s="304"/>
      <c r="J116" s="304"/>
      <c r="K116" s="307"/>
      <c r="L116" s="590" t="str">
        <f t="shared" si="46"/>
        <v/>
      </c>
      <c r="M116" s="416"/>
      <c r="N116" s="405"/>
      <c r="O116" s="468" t="str">
        <f t="shared" si="63"/>
        <v xml:space="preserve"> </v>
      </c>
      <c r="P116" s="468" t="str">
        <f t="shared" si="64"/>
        <v xml:space="preserve"> </v>
      </c>
      <c r="Q116" s="468" t="str">
        <f t="shared" si="65"/>
        <v xml:space="preserve"> </v>
      </c>
      <c r="R116" s="468" t="str">
        <f t="shared" si="66"/>
        <v xml:space="preserve"> </v>
      </c>
      <c r="S116" s="468" t="str">
        <f t="shared" si="67"/>
        <v xml:space="preserve"> </v>
      </c>
      <c r="T116" s="468" t="str">
        <f t="shared" si="68"/>
        <v xml:space="preserve"> </v>
      </c>
      <c r="U116" s="405"/>
      <c r="V116" s="405"/>
      <c r="W116" s="405"/>
      <c r="X116" s="405"/>
      <c r="Y116" s="405"/>
      <c r="Z116" s="405"/>
      <c r="AA116" s="405"/>
      <c r="AB116" s="405"/>
      <c r="AC116" s="389" t="e">
        <f t="shared" si="48"/>
        <v>#N/A</v>
      </c>
      <c r="AD116" s="390">
        <f t="shared" si="49"/>
        <v>0</v>
      </c>
      <c r="AE116" s="390">
        <f t="shared" si="50"/>
        <v>0</v>
      </c>
      <c r="AF116" s="391">
        <f t="shared" si="51"/>
        <v>0</v>
      </c>
      <c r="AG116" s="392">
        <f t="shared" si="52"/>
        <v>0</v>
      </c>
      <c r="AH116" s="392">
        <f t="shared" si="53"/>
        <v>0</v>
      </c>
      <c r="AI116" s="392">
        <f t="shared" si="54"/>
        <v>0</v>
      </c>
      <c r="AJ116" s="393">
        <f t="shared" si="55"/>
        <v>0</v>
      </c>
      <c r="AK116" s="391">
        <f t="shared" si="56"/>
        <v>0</v>
      </c>
      <c r="AL116" s="391">
        <f t="shared" si="57"/>
        <v>0</v>
      </c>
      <c r="AM116" s="391">
        <f t="shared" si="58"/>
        <v>0</v>
      </c>
      <c r="AN116" s="391">
        <f t="shared" si="59"/>
        <v>0</v>
      </c>
      <c r="AO116" s="403">
        <f t="shared" si="60"/>
        <v>0</v>
      </c>
      <c r="AP116" s="405"/>
      <c r="AQ116" s="390" t="e">
        <f t="shared" si="61"/>
        <v>#N/A</v>
      </c>
      <c r="AR116" s="408">
        <f t="shared" si="62"/>
        <v>0</v>
      </c>
      <c r="AS116" s="409" t="str">
        <f t="shared" si="47"/>
        <v/>
      </c>
      <c r="AT116" s="416"/>
    </row>
    <row r="117" spans="1:46" ht="15" x14ac:dyDescent="0.25">
      <c r="A117" s="592">
        <v>114</v>
      </c>
      <c r="B117" s="604"/>
      <c r="C117" s="302"/>
      <c r="D117" s="304"/>
      <c r="E117" s="306"/>
      <c r="F117" s="698"/>
      <c r="G117" s="304"/>
      <c r="H117" s="304"/>
      <c r="I117" s="304"/>
      <c r="J117" s="304"/>
      <c r="K117" s="307"/>
      <c r="L117" s="590" t="str">
        <f t="shared" si="46"/>
        <v/>
      </c>
      <c r="M117" s="416"/>
      <c r="N117" s="405"/>
      <c r="O117" s="468" t="str">
        <f t="shared" si="63"/>
        <v xml:space="preserve"> </v>
      </c>
      <c r="P117" s="468" t="str">
        <f t="shared" si="64"/>
        <v xml:space="preserve"> </v>
      </c>
      <c r="Q117" s="468" t="str">
        <f t="shared" si="65"/>
        <v xml:space="preserve"> </v>
      </c>
      <c r="R117" s="468" t="str">
        <f t="shared" si="66"/>
        <v xml:space="preserve"> </v>
      </c>
      <c r="S117" s="468" t="str">
        <f t="shared" si="67"/>
        <v xml:space="preserve"> </v>
      </c>
      <c r="T117" s="468" t="str">
        <f t="shared" si="68"/>
        <v xml:space="preserve"> </v>
      </c>
      <c r="U117" s="405"/>
      <c r="V117" s="405"/>
      <c r="W117" s="405"/>
      <c r="X117" s="405"/>
      <c r="Y117" s="405"/>
      <c r="Z117" s="405"/>
      <c r="AA117" s="405"/>
      <c r="AB117" s="405"/>
      <c r="AC117" s="389" t="e">
        <f t="shared" si="48"/>
        <v>#N/A</v>
      </c>
      <c r="AD117" s="390">
        <f t="shared" si="49"/>
        <v>0</v>
      </c>
      <c r="AE117" s="390">
        <f t="shared" si="50"/>
        <v>0</v>
      </c>
      <c r="AF117" s="391">
        <f t="shared" si="51"/>
        <v>0</v>
      </c>
      <c r="AG117" s="392">
        <f t="shared" si="52"/>
        <v>0</v>
      </c>
      <c r="AH117" s="392">
        <f t="shared" si="53"/>
        <v>0</v>
      </c>
      <c r="AI117" s="392">
        <f t="shared" si="54"/>
        <v>0</v>
      </c>
      <c r="AJ117" s="393">
        <f t="shared" si="55"/>
        <v>0</v>
      </c>
      <c r="AK117" s="391">
        <f t="shared" si="56"/>
        <v>0</v>
      </c>
      <c r="AL117" s="391">
        <f t="shared" si="57"/>
        <v>0</v>
      </c>
      <c r="AM117" s="391">
        <f t="shared" si="58"/>
        <v>0</v>
      </c>
      <c r="AN117" s="391">
        <f t="shared" si="59"/>
        <v>0</v>
      </c>
      <c r="AO117" s="403">
        <f t="shared" si="60"/>
        <v>0</v>
      </c>
      <c r="AP117" s="405"/>
      <c r="AQ117" s="390" t="e">
        <f t="shared" si="61"/>
        <v>#N/A</v>
      </c>
      <c r="AR117" s="408">
        <f t="shared" si="62"/>
        <v>0</v>
      </c>
      <c r="AS117" s="409" t="str">
        <f t="shared" si="47"/>
        <v/>
      </c>
      <c r="AT117" s="416"/>
    </row>
    <row r="118" spans="1:46" ht="15" x14ac:dyDescent="0.25">
      <c r="A118" s="592">
        <v>115</v>
      </c>
      <c r="B118" s="604"/>
      <c r="C118" s="302"/>
      <c r="D118" s="304"/>
      <c r="E118" s="306"/>
      <c r="F118" s="698"/>
      <c r="G118" s="304"/>
      <c r="H118" s="304"/>
      <c r="I118" s="304"/>
      <c r="J118" s="304"/>
      <c r="K118" s="307"/>
      <c r="L118" s="590" t="str">
        <f t="shared" si="46"/>
        <v/>
      </c>
      <c r="M118" s="416"/>
      <c r="N118" s="405"/>
      <c r="O118" s="468" t="str">
        <f t="shared" si="63"/>
        <v xml:space="preserve"> </v>
      </c>
      <c r="P118" s="468" t="str">
        <f t="shared" si="64"/>
        <v xml:space="preserve"> </v>
      </c>
      <c r="Q118" s="468" t="str">
        <f t="shared" si="65"/>
        <v xml:space="preserve"> </v>
      </c>
      <c r="R118" s="468" t="str">
        <f t="shared" si="66"/>
        <v xml:space="preserve"> </v>
      </c>
      <c r="S118" s="468" t="str">
        <f t="shared" si="67"/>
        <v xml:space="preserve"> </v>
      </c>
      <c r="T118" s="468" t="str">
        <f t="shared" si="68"/>
        <v xml:space="preserve"> </v>
      </c>
      <c r="U118" s="405"/>
      <c r="V118" s="405"/>
      <c r="W118" s="405"/>
      <c r="X118" s="405"/>
      <c r="Y118" s="405"/>
      <c r="Z118" s="405"/>
      <c r="AA118" s="405"/>
      <c r="AB118" s="405"/>
      <c r="AC118" s="389" t="e">
        <f t="shared" si="48"/>
        <v>#N/A</v>
      </c>
      <c r="AD118" s="390">
        <f t="shared" si="49"/>
        <v>0</v>
      </c>
      <c r="AE118" s="390">
        <f t="shared" si="50"/>
        <v>0</v>
      </c>
      <c r="AF118" s="391">
        <f t="shared" si="51"/>
        <v>0</v>
      </c>
      <c r="AG118" s="392">
        <f t="shared" si="52"/>
        <v>0</v>
      </c>
      <c r="AH118" s="392">
        <f t="shared" si="53"/>
        <v>0</v>
      </c>
      <c r="AI118" s="392">
        <f t="shared" si="54"/>
        <v>0</v>
      </c>
      <c r="AJ118" s="393">
        <f t="shared" si="55"/>
        <v>0</v>
      </c>
      <c r="AK118" s="391">
        <f t="shared" si="56"/>
        <v>0</v>
      </c>
      <c r="AL118" s="391">
        <f t="shared" si="57"/>
        <v>0</v>
      </c>
      <c r="AM118" s="391">
        <f t="shared" si="58"/>
        <v>0</v>
      </c>
      <c r="AN118" s="391">
        <f t="shared" si="59"/>
        <v>0</v>
      </c>
      <c r="AO118" s="403">
        <f t="shared" si="60"/>
        <v>0</v>
      </c>
      <c r="AP118" s="405"/>
      <c r="AQ118" s="390" t="e">
        <f t="shared" si="61"/>
        <v>#N/A</v>
      </c>
      <c r="AR118" s="408">
        <f t="shared" si="62"/>
        <v>0</v>
      </c>
      <c r="AS118" s="409" t="str">
        <f t="shared" si="47"/>
        <v/>
      </c>
      <c r="AT118" s="416"/>
    </row>
    <row r="119" spans="1:46" ht="15" x14ac:dyDescent="0.25">
      <c r="A119" s="592">
        <v>116</v>
      </c>
      <c r="B119" s="604"/>
      <c r="C119" s="302"/>
      <c r="D119" s="304"/>
      <c r="E119" s="306"/>
      <c r="F119" s="698"/>
      <c r="G119" s="304"/>
      <c r="H119" s="304"/>
      <c r="I119" s="304"/>
      <c r="J119" s="304"/>
      <c r="K119" s="307"/>
      <c r="L119" s="590" t="str">
        <f t="shared" si="46"/>
        <v/>
      </c>
      <c r="M119" s="416"/>
      <c r="N119" s="405"/>
      <c r="O119" s="468" t="str">
        <f t="shared" si="63"/>
        <v xml:space="preserve"> </v>
      </c>
      <c r="P119" s="468" t="str">
        <f t="shared" si="64"/>
        <v xml:space="preserve"> </v>
      </c>
      <c r="Q119" s="468" t="str">
        <f t="shared" si="65"/>
        <v xml:space="preserve"> </v>
      </c>
      <c r="R119" s="468" t="str">
        <f t="shared" si="66"/>
        <v xml:space="preserve"> </v>
      </c>
      <c r="S119" s="468" t="str">
        <f t="shared" si="67"/>
        <v xml:space="preserve"> </v>
      </c>
      <c r="T119" s="468" t="str">
        <f t="shared" si="68"/>
        <v xml:space="preserve"> </v>
      </c>
      <c r="U119" s="405"/>
      <c r="V119" s="405"/>
      <c r="W119" s="405"/>
      <c r="X119" s="405"/>
      <c r="Y119" s="405"/>
      <c r="Z119" s="405"/>
      <c r="AA119" s="405"/>
      <c r="AB119" s="405"/>
      <c r="AC119" s="389" t="e">
        <f t="shared" si="48"/>
        <v>#N/A</v>
      </c>
      <c r="AD119" s="390">
        <f t="shared" si="49"/>
        <v>0</v>
      </c>
      <c r="AE119" s="390">
        <f t="shared" si="50"/>
        <v>0</v>
      </c>
      <c r="AF119" s="391">
        <f t="shared" si="51"/>
        <v>0</v>
      </c>
      <c r="AG119" s="392">
        <f t="shared" si="52"/>
        <v>0</v>
      </c>
      <c r="AH119" s="392">
        <f t="shared" si="53"/>
        <v>0</v>
      </c>
      <c r="AI119" s="392">
        <f t="shared" si="54"/>
        <v>0</v>
      </c>
      <c r="AJ119" s="393">
        <f t="shared" si="55"/>
        <v>0</v>
      </c>
      <c r="AK119" s="391">
        <f t="shared" si="56"/>
        <v>0</v>
      </c>
      <c r="AL119" s="391">
        <f t="shared" si="57"/>
        <v>0</v>
      </c>
      <c r="AM119" s="391">
        <f t="shared" si="58"/>
        <v>0</v>
      </c>
      <c r="AN119" s="391">
        <f t="shared" si="59"/>
        <v>0</v>
      </c>
      <c r="AO119" s="403">
        <f t="shared" si="60"/>
        <v>0</v>
      </c>
      <c r="AP119" s="405"/>
      <c r="AQ119" s="390" t="e">
        <f t="shared" si="61"/>
        <v>#N/A</v>
      </c>
      <c r="AR119" s="408">
        <f t="shared" si="62"/>
        <v>0</v>
      </c>
      <c r="AS119" s="409" t="str">
        <f t="shared" si="47"/>
        <v/>
      </c>
      <c r="AT119" s="416"/>
    </row>
    <row r="120" spans="1:46" ht="15" x14ac:dyDescent="0.25">
      <c r="A120" s="592">
        <v>117</v>
      </c>
      <c r="B120" s="604"/>
      <c r="C120" s="302"/>
      <c r="D120" s="304"/>
      <c r="E120" s="306"/>
      <c r="F120" s="698"/>
      <c r="G120" s="304"/>
      <c r="H120" s="304"/>
      <c r="I120" s="304"/>
      <c r="J120" s="304"/>
      <c r="K120" s="307"/>
      <c r="L120" s="590" t="str">
        <f t="shared" si="46"/>
        <v/>
      </c>
      <c r="M120" s="416"/>
      <c r="N120" s="405"/>
      <c r="O120" s="468" t="str">
        <f t="shared" si="63"/>
        <v xml:space="preserve"> </v>
      </c>
      <c r="P120" s="468" t="str">
        <f t="shared" si="64"/>
        <v xml:space="preserve"> </v>
      </c>
      <c r="Q120" s="468" t="str">
        <f t="shared" si="65"/>
        <v xml:space="preserve"> </v>
      </c>
      <c r="R120" s="468" t="str">
        <f t="shared" si="66"/>
        <v xml:space="preserve"> </v>
      </c>
      <c r="S120" s="468" t="str">
        <f t="shared" si="67"/>
        <v xml:space="preserve"> </v>
      </c>
      <c r="T120" s="468" t="str">
        <f t="shared" si="68"/>
        <v xml:space="preserve"> </v>
      </c>
      <c r="U120" s="405"/>
      <c r="V120" s="405"/>
      <c r="W120" s="405"/>
      <c r="X120" s="405"/>
      <c r="Y120" s="405"/>
      <c r="Z120" s="405"/>
      <c r="AA120" s="405"/>
      <c r="AB120" s="405"/>
      <c r="AC120" s="389" t="e">
        <f t="shared" si="48"/>
        <v>#N/A</v>
      </c>
      <c r="AD120" s="390">
        <f t="shared" si="49"/>
        <v>0</v>
      </c>
      <c r="AE120" s="390">
        <f t="shared" si="50"/>
        <v>0</v>
      </c>
      <c r="AF120" s="391">
        <f t="shared" si="51"/>
        <v>0</v>
      </c>
      <c r="AG120" s="392">
        <f t="shared" si="52"/>
        <v>0</v>
      </c>
      <c r="AH120" s="392">
        <f t="shared" si="53"/>
        <v>0</v>
      </c>
      <c r="AI120" s="392">
        <f t="shared" si="54"/>
        <v>0</v>
      </c>
      <c r="AJ120" s="393">
        <f t="shared" si="55"/>
        <v>0</v>
      </c>
      <c r="AK120" s="391">
        <f t="shared" si="56"/>
        <v>0</v>
      </c>
      <c r="AL120" s="391">
        <f t="shared" si="57"/>
        <v>0</v>
      </c>
      <c r="AM120" s="391">
        <f t="shared" si="58"/>
        <v>0</v>
      </c>
      <c r="AN120" s="391">
        <f t="shared" si="59"/>
        <v>0</v>
      </c>
      <c r="AO120" s="403">
        <f t="shared" si="60"/>
        <v>0</v>
      </c>
      <c r="AP120" s="405"/>
      <c r="AQ120" s="390" t="e">
        <f t="shared" si="61"/>
        <v>#N/A</v>
      </c>
      <c r="AR120" s="408">
        <f t="shared" si="62"/>
        <v>0</v>
      </c>
      <c r="AS120" s="409" t="str">
        <f t="shared" si="47"/>
        <v/>
      </c>
      <c r="AT120" s="416"/>
    </row>
    <row r="121" spans="1:46" ht="15" x14ac:dyDescent="0.25">
      <c r="A121" s="592">
        <v>118</v>
      </c>
      <c r="B121" s="604"/>
      <c r="C121" s="302"/>
      <c r="D121" s="304"/>
      <c r="E121" s="306"/>
      <c r="F121" s="698"/>
      <c r="G121" s="304"/>
      <c r="H121" s="304"/>
      <c r="I121" s="304"/>
      <c r="J121" s="304"/>
      <c r="K121" s="307"/>
      <c r="L121" s="590" t="str">
        <f t="shared" si="46"/>
        <v/>
      </c>
      <c r="M121" s="416"/>
      <c r="N121" s="405"/>
      <c r="O121" s="468" t="str">
        <f t="shared" si="63"/>
        <v xml:space="preserve"> </v>
      </c>
      <c r="P121" s="468" t="str">
        <f t="shared" si="64"/>
        <v xml:space="preserve"> </v>
      </c>
      <c r="Q121" s="468" t="str">
        <f t="shared" si="65"/>
        <v xml:space="preserve"> </v>
      </c>
      <c r="R121" s="468" t="str">
        <f t="shared" si="66"/>
        <v xml:space="preserve"> </v>
      </c>
      <c r="S121" s="468" t="str">
        <f t="shared" si="67"/>
        <v xml:space="preserve"> </v>
      </c>
      <c r="T121" s="468" t="str">
        <f t="shared" si="68"/>
        <v xml:space="preserve"> </v>
      </c>
      <c r="U121" s="405"/>
      <c r="V121" s="405"/>
      <c r="W121" s="405"/>
      <c r="X121" s="405"/>
      <c r="Y121" s="405"/>
      <c r="Z121" s="405"/>
      <c r="AA121" s="405"/>
      <c r="AB121" s="405"/>
      <c r="AC121" s="389" t="e">
        <f t="shared" si="48"/>
        <v>#N/A</v>
      </c>
      <c r="AD121" s="390">
        <f t="shared" si="49"/>
        <v>0</v>
      </c>
      <c r="AE121" s="390">
        <f t="shared" si="50"/>
        <v>0</v>
      </c>
      <c r="AF121" s="391">
        <f t="shared" si="51"/>
        <v>0</v>
      </c>
      <c r="AG121" s="392">
        <f t="shared" si="52"/>
        <v>0</v>
      </c>
      <c r="AH121" s="392">
        <f t="shared" si="53"/>
        <v>0</v>
      </c>
      <c r="AI121" s="392">
        <f t="shared" si="54"/>
        <v>0</v>
      </c>
      <c r="AJ121" s="393">
        <f t="shared" si="55"/>
        <v>0</v>
      </c>
      <c r="AK121" s="391">
        <f t="shared" si="56"/>
        <v>0</v>
      </c>
      <c r="AL121" s="391">
        <f t="shared" si="57"/>
        <v>0</v>
      </c>
      <c r="AM121" s="391">
        <f t="shared" si="58"/>
        <v>0</v>
      </c>
      <c r="AN121" s="391">
        <f t="shared" si="59"/>
        <v>0</v>
      </c>
      <c r="AO121" s="403">
        <f t="shared" si="60"/>
        <v>0</v>
      </c>
      <c r="AP121" s="405"/>
      <c r="AQ121" s="390" t="e">
        <f t="shared" si="61"/>
        <v>#N/A</v>
      </c>
      <c r="AR121" s="408">
        <f t="shared" si="62"/>
        <v>0</v>
      </c>
      <c r="AS121" s="409" t="str">
        <f t="shared" si="47"/>
        <v/>
      </c>
      <c r="AT121" s="416"/>
    </row>
    <row r="122" spans="1:46" ht="15" x14ac:dyDescent="0.25">
      <c r="A122" s="592">
        <v>119</v>
      </c>
      <c r="B122" s="604"/>
      <c r="C122" s="302"/>
      <c r="D122" s="304"/>
      <c r="E122" s="306"/>
      <c r="F122" s="698"/>
      <c r="G122" s="304"/>
      <c r="H122" s="304"/>
      <c r="I122" s="304"/>
      <c r="J122" s="304"/>
      <c r="K122" s="307"/>
      <c r="L122" s="590" t="str">
        <f t="shared" si="46"/>
        <v/>
      </c>
      <c r="M122" s="416"/>
      <c r="N122" s="405"/>
      <c r="O122" s="468" t="str">
        <f t="shared" si="63"/>
        <v xml:space="preserve"> </v>
      </c>
      <c r="P122" s="468" t="str">
        <f t="shared" si="64"/>
        <v xml:space="preserve"> </v>
      </c>
      <c r="Q122" s="468" t="str">
        <f t="shared" si="65"/>
        <v xml:space="preserve"> </v>
      </c>
      <c r="R122" s="468" t="str">
        <f t="shared" si="66"/>
        <v xml:space="preserve"> </v>
      </c>
      <c r="S122" s="468" t="str">
        <f t="shared" si="67"/>
        <v xml:space="preserve"> </v>
      </c>
      <c r="T122" s="468" t="str">
        <f t="shared" si="68"/>
        <v xml:space="preserve"> </v>
      </c>
      <c r="U122" s="405"/>
      <c r="V122" s="405"/>
      <c r="W122" s="405"/>
      <c r="X122" s="405"/>
      <c r="Y122" s="405"/>
      <c r="Z122" s="405"/>
      <c r="AA122" s="405"/>
      <c r="AB122" s="405"/>
      <c r="AC122" s="389" t="e">
        <f t="shared" si="48"/>
        <v>#N/A</v>
      </c>
      <c r="AD122" s="390">
        <f t="shared" si="49"/>
        <v>0</v>
      </c>
      <c r="AE122" s="390">
        <f t="shared" si="50"/>
        <v>0</v>
      </c>
      <c r="AF122" s="391">
        <f t="shared" si="51"/>
        <v>0</v>
      </c>
      <c r="AG122" s="392">
        <f t="shared" si="52"/>
        <v>0</v>
      </c>
      <c r="AH122" s="392">
        <f t="shared" si="53"/>
        <v>0</v>
      </c>
      <c r="AI122" s="392">
        <f t="shared" si="54"/>
        <v>0</v>
      </c>
      <c r="AJ122" s="393">
        <f t="shared" si="55"/>
        <v>0</v>
      </c>
      <c r="AK122" s="391">
        <f t="shared" si="56"/>
        <v>0</v>
      </c>
      <c r="AL122" s="391">
        <f t="shared" si="57"/>
        <v>0</v>
      </c>
      <c r="AM122" s="391">
        <f t="shared" si="58"/>
        <v>0</v>
      </c>
      <c r="AN122" s="391">
        <f t="shared" si="59"/>
        <v>0</v>
      </c>
      <c r="AO122" s="403">
        <f t="shared" si="60"/>
        <v>0</v>
      </c>
      <c r="AP122" s="405"/>
      <c r="AQ122" s="390" t="e">
        <f t="shared" si="61"/>
        <v>#N/A</v>
      </c>
      <c r="AR122" s="408">
        <f t="shared" si="62"/>
        <v>0</v>
      </c>
      <c r="AS122" s="409" t="str">
        <f t="shared" si="47"/>
        <v/>
      </c>
      <c r="AT122" s="416"/>
    </row>
    <row r="123" spans="1:46" ht="15" x14ac:dyDescent="0.25">
      <c r="A123" s="592">
        <v>120</v>
      </c>
      <c r="B123" s="604"/>
      <c r="C123" s="302"/>
      <c r="D123" s="304"/>
      <c r="E123" s="306"/>
      <c r="F123" s="698"/>
      <c r="G123" s="304"/>
      <c r="H123" s="304"/>
      <c r="I123" s="304"/>
      <c r="J123" s="304"/>
      <c r="K123" s="307"/>
      <c r="L123" s="590" t="str">
        <f t="shared" si="46"/>
        <v/>
      </c>
      <c r="M123" s="416"/>
      <c r="N123" s="405"/>
      <c r="O123" s="468" t="str">
        <f t="shared" si="63"/>
        <v xml:space="preserve"> </v>
      </c>
      <c r="P123" s="468" t="str">
        <f t="shared" si="64"/>
        <v xml:space="preserve"> </v>
      </c>
      <c r="Q123" s="468" t="str">
        <f t="shared" si="65"/>
        <v xml:space="preserve"> </v>
      </c>
      <c r="R123" s="468" t="str">
        <f t="shared" si="66"/>
        <v xml:space="preserve"> </v>
      </c>
      <c r="S123" s="468" t="str">
        <f t="shared" si="67"/>
        <v xml:space="preserve"> </v>
      </c>
      <c r="T123" s="468" t="str">
        <f t="shared" si="68"/>
        <v xml:space="preserve"> </v>
      </c>
      <c r="U123" s="405"/>
      <c r="V123" s="405"/>
      <c r="W123" s="405"/>
      <c r="X123" s="405"/>
      <c r="Y123" s="405"/>
      <c r="Z123" s="405"/>
      <c r="AA123" s="405"/>
      <c r="AB123" s="405"/>
      <c r="AC123" s="389" t="e">
        <f t="shared" si="48"/>
        <v>#N/A</v>
      </c>
      <c r="AD123" s="390">
        <f t="shared" si="49"/>
        <v>0</v>
      </c>
      <c r="AE123" s="390">
        <f t="shared" si="50"/>
        <v>0</v>
      </c>
      <c r="AF123" s="391">
        <f t="shared" si="51"/>
        <v>0</v>
      </c>
      <c r="AG123" s="392">
        <f t="shared" si="52"/>
        <v>0</v>
      </c>
      <c r="AH123" s="392">
        <f t="shared" si="53"/>
        <v>0</v>
      </c>
      <c r="AI123" s="392">
        <f t="shared" si="54"/>
        <v>0</v>
      </c>
      <c r="AJ123" s="393">
        <f t="shared" si="55"/>
        <v>0</v>
      </c>
      <c r="AK123" s="391">
        <f t="shared" si="56"/>
        <v>0</v>
      </c>
      <c r="AL123" s="391">
        <f t="shared" si="57"/>
        <v>0</v>
      </c>
      <c r="AM123" s="391">
        <f t="shared" si="58"/>
        <v>0</v>
      </c>
      <c r="AN123" s="391">
        <f t="shared" si="59"/>
        <v>0</v>
      </c>
      <c r="AO123" s="403">
        <f t="shared" si="60"/>
        <v>0</v>
      </c>
      <c r="AP123" s="405"/>
      <c r="AQ123" s="390" t="e">
        <f t="shared" si="61"/>
        <v>#N/A</v>
      </c>
      <c r="AR123" s="408">
        <f t="shared" si="62"/>
        <v>0</v>
      </c>
      <c r="AS123" s="409" t="str">
        <f t="shared" si="47"/>
        <v/>
      </c>
      <c r="AT123" s="416"/>
    </row>
    <row r="124" spans="1:46" ht="15" x14ac:dyDescent="0.25">
      <c r="A124" s="592">
        <v>121</v>
      </c>
      <c r="B124" s="604"/>
      <c r="C124" s="302"/>
      <c r="D124" s="304"/>
      <c r="E124" s="306"/>
      <c r="F124" s="698"/>
      <c r="G124" s="304"/>
      <c r="H124" s="304"/>
      <c r="I124" s="304"/>
      <c r="J124" s="304"/>
      <c r="K124" s="307"/>
      <c r="L124" s="590" t="str">
        <f t="shared" si="46"/>
        <v/>
      </c>
      <c r="M124" s="416"/>
      <c r="N124" s="405"/>
      <c r="O124" s="468" t="str">
        <f t="shared" si="63"/>
        <v xml:space="preserve"> </v>
      </c>
      <c r="P124" s="468" t="str">
        <f t="shared" si="64"/>
        <v xml:space="preserve"> </v>
      </c>
      <c r="Q124" s="468" t="str">
        <f t="shared" si="65"/>
        <v xml:space="preserve"> </v>
      </c>
      <c r="R124" s="468" t="str">
        <f t="shared" si="66"/>
        <v xml:space="preserve"> </v>
      </c>
      <c r="S124" s="468" t="str">
        <f t="shared" si="67"/>
        <v xml:space="preserve"> </v>
      </c>
      <c r="T124" s="468" t="str">
        <f t="shared" si="68"/>
        <v xml:space="preserve"> </v>
      </c>
      <c r="U124" s="405"/>
      <c r="V124" s="405"/>
      <c r="W124" s="405"/>
      <c r="X124" s="405"/>
      <c r="Y124" s="405"/>
      <c r="Z124" s="405"/>
      <c r="AA124" s="405"/>
      <c r="AB124" s="405"/>
      <c r="AC124" s="389" t="e">
        <f t="shared" si="48"/>
        <v>#N/A</v>
      </c>
      <c r="AD124" s="390">
        <f t="shared" si="49"/>
        <v>0</v>
      </c>
      <c r="AE124" s="390">
        <f t="shared" si="50"/>
        <v>0</v>
      </c>
      <c r="AF124" s="391">
        <f t="shared" si="51"/>
        <v>0</v>
      </c>
      <c r="AG124" s="392">
        <f t="shared" si="52"/>
        <v>0</v>
      </c>
      <c r="AH124" s="392">
        <f t="shared" si="53"/>
        <v>0</v>
      </c>
      <c r="AI124" s="392">
        <f t="shared" si="54"/>
        <v>0</v>
      </c>
      <c r="AJ124" s="393">
        <f t="shared" si="55"/>
        <v>0</v>
      </c>
      <c r="AK124" s="391">
        <f t="shared" si="56"/>
        <v>0</v>
      </c>
      <c r="AL124" s="391">
        <f t="shared" si="57"/>
        <v>0</v>
      </c>
      <c r="AM124" s="391">
        <f t="shared" si="58"/>
        <v>0</v>
      </c>
      <c r="AN124" s="391">
        <f t="shared" si="59"/>
        <v>0</v>
      </c>
      <c r="AO124" s="403">
        <f t="shared" si="60"/>
        <v>0</v>
      </c>
      <c r="AP124" s="405"/>
      <c r="AQ124" s="390" t="e">
        <f t="shared" si="61"/>
        <v>#N/A</v>
      </c>
      <c r="AR124" s="408">
        <f t="shared" si="62"/>
        <v>0</v>
      </c>
      <c r="AS124" s="409" t="str">
        <f t="shared" si="47"/>
        <v/>
      </c>
      <c r="AT124" s="416"/>
    </row>
    <row r="125" spans="1:46" ht="15" x14ac:dyDescent="0.25">
      <c r="A125" s="592">
        <v>122</v>
      </c>
      <c r="B125" s="604"/>
      <c r="C125" s="302"/>
      <c r="D125" s="304"/>
      <c r="E125" s="306"/>
      <c r="F125" s="698"/>
      <c r="G125" s="304"/>
      <c r="H125" s="304"/>
      <c r="I125" s="304"/>
      <c r="J125" s="304"/>
      <c r="K125" s="307"/>
      <c r="L125" s="590" t="str">
        <f t="shared" si="46"/>
        <v/>
      </c>
      <c r="M125" s="416"/>
      <c r="N125" s="405"/>
      <c r="O125" s="468" t="str">
        <f t="shared" si="63"/>
        <v xml:space="preserve"> </v>
      </c>
      <c r="P125" s="468" t="str">
        <f t="shared" si="64"/>
        <v xml:space="preserve"> </v>
      </c>
      <c r="Q125" s="468" t="str">
        <f t="shared" si="65"/>
        <v xml:space="preserve"> </v>
      </c>
      <c r="R125" s="468" t="str">
        <f t="shared" si="66"/>
        <v xml:space="preserve"> </v>
      </c>
      <c r="S125" s="468" t="str">
        <f t="shared" si="67"/>
        <v xml:space="preserve"> </v>
      </c>
      <c r="T125" s="468" t="str">
        <f t="shared" si="68"/>
        <v xml:space="preserve"> </v>
      </c>
      <c r="U125" s="405"/>
      <c r="V125" s="405"/>
      <c r="W125" s="405"/>
      <c r="X125" s="405"/>
      <c r="Y125" s="405"/>
      <c r="Z125" s="405"/>
      <c r="AA125" s="405"/>
      <c r="AB125" s="405"/>
      <c r="AC125" s="389" t="e">
        <f t="shared" si="48"/>
        <v>#N/A</v>
      </c>
      <c r="AD125" s="390">
        <f t="shared" si="49"/>
        <v>0</v>
      </c>
      <c r="AE125" s="390">
        <f t="shared" si="50"/>
        <v>0</v>
      </c>
      <c r="AF125" s="391">
        <f t="shared" si="51"/>
        <v>0</v>
      </c>
      <c r="AG125" s="392">
        <f t="shared" si="52"/>
        <v>0</v>
      </c>
      <c r="AH125" s="392">
        <f t="shared" si="53"/>
        <v>0</v>
      </c>
      <c r="AI125" s="392">
        <f t="shared" si="54"/>
        <v>0</v>
      </c>
      <c r="AJ125" s="393">
        <f t="shared" si="55"/>
        <v>0</v>
      </c>
      <c r="AK125" s="391">
        <f t="shared" si="56"/>
        <v>0</v>
      </c>
      <c r="AL125" s="391">
        <f t="shared" si="57"/>
        <v>0</v>
      </c>
      <c r="AM125" s="391">
        <f t="shared" si="58"/>
        <v>0</v>
      </c>
      <c r="AN125" s="391">
        <f t="shared" si="59"/>
        <v>0</v>
      </c>
      <c r="AO125" s="403">
        <f t="shared" si="60"/>
        <v>0</v>
      </c>
      <c r="AP125" s="405"/>
      <c r="AQ125" s="390" t="e">
        <f t="shared" si="61"/>
        <v>#N/A</v>
      </c>
      <c r="AR125" s="408">
        <f t="shared" si="62"/>
        <v>0</v>
      </c>
      <c r="AS125" s="409" t="str">
        <f t="shared" si="47"/>
        <v/>
      </c>
      <c r="AT125" s="416"/>
    </row>
    <row r="126" spans="1:46" ht="15" x14ac:dyDescent="0.25">
      <c r="A126" s="592">
        <v>123</v>
      </c>
      <c r="B126" s="604"/>
      <c r="C126" s="302"/>
      <c r="D126" s="304"/>
      <c r="E126" s="306"/>
      <c r="F126" s="698"/>
      <c r="G126" s="304"/>
      <c r="H126" s="304"/>
      <c r="I126" s="304"/>
      <c r="J126" s="304"/>
      <c r="K126" s="307"/>
      <c r="L126" s="590" t="str">
        <f t="shared" si="46"/>
        <v/>
      </c>
      <c r="M126" s="416"/>
      <c r="N126" s="405"/>
      <c r="O126" s="468" t="str">
        <f t="shared" si="63"/>
        <v xml:space="preserve"> </v>
      </c>
      <c r="P126" s="468" t="str">
        <f t="shared" si="64"/>
        <v xml:space="preserve"> </v>
      </c>
      <c r="Q126" s="468" t="str">
        <f t="shared" si="65"/>
        <v xml:space="preserve"> </v>
      </c>
      <c r="R126" s="468" t="str">
        <f t="shared" si="66"/>
        <v xml:space="preserve"> </v>
      </c>
      <c r="S126" s="468" t="str">
        <f t="shared" si="67"/>
        <v xml:space="preserve"> </v>
      </c>
      <c r="T126" s="468" t="str">
        <f t="shared" si="68"/>
        <v xml:space="preserve"> </v>
      </c>
      <c r="U126" s="405"/>
      <c r="V126" s="405"/>
      <c r="W126" s="405"/>
      <c r="X126" s="405"/>
      <c r="Y126" s="405"/>
      <c r="Z126" s="405"/>
      <c r="AA126" s="405"/>
      <c r="AB126" s="405"/>
      <c r="AC126" s="389" t="e">
        <f t="shared" si="48"/>
        <v>#N/A</v>
      </c>
      <c r="AD126" s="390">
        <f t="shared" si="49"/>
        <v>0</v>
      </c>
      <c r="AE126" s="390">
        <f t="shared" si="50"/>
        <v>0</v>
      </c>
      <c r="AF126" s="391">
        <f t="shared" si="51"/>
        <v>0</v>
      </c>
      <c r="AG126" s="392">
        <f t="shared" si="52"/>
        <v>0</v>
      </c>
      <c r="AH126" s="392">
        <f t="shared" si="53"/>
        <v>0</v>
      </c>
      <c r="AI126" s="392">
        <f t="shared" si="54"/>
        <v>0</v>
      </c>
      <c r="AJ126" s="393">
        <f t="shared" si="55"/>
        <v>0</v>
      </c>
      <c r="AK126" s="391">
        <f t="shared" si="56"/>
        <v>0</v>
      </c>
      <c r="AL126" s="391">
        <f t="shared" si="57"/>
        <v>0</v>
      </c>
      <c r="AM126" s="391">
        <f t="shared" si="58"/>
        <v>0</v>
      </c>
      <c r="AN126" s="391">
        <f t="shared" si="59"/>
        <v>0</v>
      </c>
      <c r="AO126" s="403">
        <f t="shared" si="60"/>
        <v>0</v>
      </c>
      <c r="AP126" s="405"/>
      <c r="AQ126" s="390" t="e">
        <f t="shared" si="61"/>
        <v>#N/A</v>
      </c>
      <c r="AR126" s="408">
        <f t="shared" si="62"/>
        <v>0</v>
      </c>
      <c r="AS126" s="409" t="str">
        <f t="shared" si="47"/>
        <v/>
      </c>
      <c r="AT126" s="416"/>
    </row>
    <row r="127" spans="1:46" ht="15" x14ac:dyDescent="0.25">
      <c r="A127" s="592">
        <v>124</v>
      </c>
      <c r="B127" s="604"/>
      <c r="C127" s="302"/>
      <c r="D127" s="304"/>
      <c r="E127" s="306"/>
      <c r="F127" s="698"/>
      <c r="G127" s="304"/>
      <c r="H127" s="304"/>
      <c r="I127" s="304"/>
      <c r="J127" s="304"/>
      <c r="K127" s="307"/>
      <c r="L127" s="590" t="str">
        <f t="shared" si="46"/>
        <v/>
      </c>
      <c r="M127" s="416"/>
      <c r="N127" s="405"/>
      <c r="O127" s="468" t="str">
        <f t="shared" si="63"/>
        <v xml:space="preserve"> </v>
      </c>
      <c r="P127" s="468" t="str">
        <f t="shared" si="64"/>
        <v xml:space="preserve"> </v>
      </c>
      <c r="Q127" s="468" t="str">
        <f t="shared" si="65"/>
        <v xml:space="preserve"> </v>
      </c>
      <c r="R127" s="468" t="str">
        <f t="shared" si="66"/>
        <v xml:space="preserve"> </v>
      </c>
      <c r="S127" s="468" t="str">
        <f t="shared" si="67"/>
        <v xml:space="preserve"> </v>
      </c>
      <c r="T127" s="468" t="str">
        <f t="shared" si="68"/>
        <v xml:space="preserve"> </v>
      </c>
      <c r="U127" s="405"/>
      <c r="V127" s="405"/>
      <c r="W127" s="405"/>
      <c r="X127" s="405"/>
      <c r="Y127" s="405"/>
      <c r="Z127" s="405"/>
      <c r="AA127" s="405"/>
      <c r="AB127" s="405"/>
      <c r="AC127" s="389" t="e">
        <f t="shared" si="48"/>
        <v>#N/A</v>
      </c>
      <c r="AD127" s="390">
        <f t="shared" si="49"/>
        <v>0</v>
      </c>
      <c r="AE127" s="390">
        <f t="shared" si="50"/>
        <v>0</v>
      </c>
      <c r="AF127" s="391">
        <f t="shared" si="51"/>
        <v>0</v>
      </c>
      <c r="AG127" s="392">
        <f t="shared" si="52"/>
        <v>0</v>
      </c>
      <c r="AH127" s="392">
        <f t="shared" si="53"/>
        <v>0</v>
      </c>
      <c r="AI127" s="392">
        <f t="shared" si="54"/>
        <v>0</v>
      </c>
      <c r="AJ127" s="393">
        <f t="shared" si="55"/>
        <v>0</v>
      </c>
      <c r="AK127" s="391">
        <f t="shared" si="56"/>
        <v>0</v>
      </c>
      <c r="AL127" s="391">
        <f t="shared" si="57"/>
        <v>0</v>
      </c>
      <c r="AM127" s="391">
        <f t="shared" si="58"/>
        <v>0</v>
      </c>
      <c r="AN127" s="391">
        <f t="shared" si="59"/>
        <v>0</v>
      </c>
      <c r="AO127" s="403">
        <f t="shared" si="60"/>
        <v>0</v>
      </c>
      <c r="AP127" s="405"/>
      <c r="AQ127" s="390" t="e">
        <f t="shared" si="61"/>
        <v>#N/A</v>
      </c>
      <c r="AR127" s="408">
        <f t="shared" si="62"/>
        <v>0</v>
      </c>
      <c r="AS127" s="409" t="str">
        <f t="shared" si="47"/>
        <v/>
      </c>
      <c r="AT127" s="416"/>
    </row>
    <row r="128" spans="1:46" ht="15" x14ac:dyDescent="0.25">
      <c r="A128" s="592">
        <v>125</v>
      </c>
      <c r="B128" s="604"/>
      <c r="C128" s="302"/>
      <c r="D128" s="304"/>
      <c r="E128" s="306"/>
      <c r="F128" s="698"/>
      <c r="G128" s="304"/>
      <c r="H128" s="304"/>
      <c r="I128" s="304"/>
      <c r="J128" s="304"/>
      <c r="K128" s="307"/>
      <c r="L128" s="590" t="str">
        <f t="shared" si="46"/>
        <v/>
      </c>
      <c r="M128" s="416"/>
      <c r="N128" s="405"/>
      <c r="O128" s="468" t="str">
        <f t="shared" si="63"/>
        <v xml:space="preserve"> </v>
      </c>
      <c r="P128" s="468" t="str">
        <f t="shared" si="64"/>
        <v xml:space="preserve"> </v>
      </c>
      <c r="Q128" s="468" t="str">
        <f t="shared" si="65"/>
        <v xml:space="preserve"> </v>
      </c>
      <c r="R128" s="468" t="str">
        <f t="shared" si="66"/>
        <v xml:space="preserve"> </v>
      </c>
      <c r="S128" s="468" t="str">
        <f t="shared" si="67"/>
        <v xml:space="preserve"> </v>
      </c>
      <c r="T128" s="468" t="str">
        <f t="shared" si="68"/>
        <v xml:space="preserve"> </v>
      </c>
      <c r="U128" s="405"/>
      <c r="V128" s="405"/>
      <c r="W128" s="405"/>
      <c r="X128" s="405"/>
      <c r="Y128" s="405"/>
      <c r="Z128" s="405"/>
      <c r="AA128" s="405"/>
      <c r="AB128" s="405"/>
      <c r="AC128" s="389" t="e">
        <f t="shared" si="48"/>
        <v>#N/A</v>
      </c>
      <c r="AD128" s="390">
        <f t="shared" si="49"/>
        <v>0</v>
      </c>
      <c r="AE128" s="390">
        <f t="shared" si="50"/>
        <v>0</v>
      </c>
      <c r="AF128" s="391">
        <f t="shared" si="51"/>
        <v>0</v>
      </c>
      <c r="AG128" s="392">
        <f t="shared" si="52"/>
        <v>0</v>
      </c>
      <c r="AH128" s="392">
        <f t="shared" si="53"/>
        <v>0</v>
      </c>
      <c r="AI128" s="392">
        <f t="shared" si="54"/>
        <v>0</v>
      </c>
      <c r="AJ128" s="393">
        <f t="shared" si="55"/>
        <v>0</v>
      </c>
      <c r="AK128" s="391">
        <f t="shared" si="56"/>
        <v>0</v>
      </c>
      <c r="AL128" s="391">
        <f t="shared" si="57"/>
        <v>0</v>
      </c>
      <c r="AM128" s="391">
        <f t="shared" si="58"/>
        <v>0</v>
      </c>
      <c r="AN128" s="391">
        <f t="shared" si="59"/>
        <v>0</v>
      </c>
      <c r="AO128" s="403">
        <f t="shared" si="60"/>
        <v>0</v>
      </c>
      <c r="AP128" s="405"/>
      <c r="AQ128" s="390" t="e">
        <f t="shared" si="61"/>
        <v>#N/A</v>
      </c>
      <c r="AR128" s="408">
        <f t="shared" si="62"/>
        <v>0</v>
      </c>
      <c r="AS128" s="409" t="str">
        <f t="shared" si="47"/>
        <v/>
      </c>
      <c r="AT128" s="416"/>
    </row>
    <row r="129" spans="1:46" ht="15" x14ac:dyDescent="0.25">
      <c r="A129" s="592">
        <v>126</v>
      </c>
      <c r="B129" s="604"/>
      <c r="C129" s="302"/>
      <c r="D129" s="304"/>
      <c r="E129" s="306"/>
      <c r="F129" s="698"/>
      <c r="G129" s="304"/>
      <c r="H129" s="304"/>
      <c r="I129" s="304"/>
      <c r="J129" s="304"/>
      <c r="K129" s="307"/>
      <c r="L129" s="590" t="str">
        <f t="shared" si="46"/>
        <v/>
      </c>
      <c r="M129" s="416"/>
      <c r="N129" s="405"/>
      <c r="O129" s="468" t="str">
        <f t="shared" si="63"/>
        <v xml:space="preserve"> </v>
      </c>
      <c r="P129" s="468" t="str">
        <f t="shared" si="64"/>
        <v xml:space="preserve"> </v>
      </c>
      <c r="Q129" s="468" t="str">
        <f t="shared" si="65"/>
        <v xml:space="preserve"> </v>
      </c>
      <c r="R129" s="468" t="str">
        <f t="shared" si="66"/>
        <v xml:space="preserve"> </v>
      </c>
      <c r="S129" s="468" t="str">
        <f t="shared" si="67"/>
        <v xml:space="preserve"> </v>
      </c>
      <c r="T129" s="468" t="str">
        <f t="shared" si="68"/>
        <v xml:space="preserve"> </v>
      </c>
      <c r="U129" s="405"/>
      <c r="V129" s="405"/>
      <c r="W129" s="405"/>
      <c r="X129" s="405"/>
      <c r="Y129" s="405"/>
      <c r="Z129" s="405"/>
      <c r="AA129" s="405"/>
      <c r="AB129" s="405"/>
      <c r="AC129" s="389" t="e">
        <f t="shared" si="48"/>
        <v>#N/A</v>
      </c>
      <c r="AD129" s="390">
        <f t="shared" si="49"/>
        <v>0</v>
      </c>
      <c r="AE129" s="390">
        <f t="shared" si="50"/>
        <v>0</v>
      </c>
      <c r="AF129" s="391">
        <f t="shared" si="51"/>
        <v>0</v>
      </c>
      <c r="AG129" s="392">
        <f t="shared" si="52"/>
        <v>0</v>
      </c>
      <c r="AH129" s="392">
        <f t="shared" si="53"/>
        <v>0</v>
      </c>
      <c r="AI129" s="392">
        <f t="shared" si="54"/>
        <v>0</v>
      </c>
      <c r="AJ129" s="393">
        <f t="shared" si="55"/>
        <v>0</v>
      </c>
      <c r="AK129" s="391">
        <f t="shared" si="56"/>
        <v>0</v>
      </c>
      <c r="AL129" s="391">
        <f t="shared" si="57"/>
        <v>0</v>
      </c>
      <c r="AM129" s="391">
        <f t="shared" si="58"/>
        <v>0</v>
      </c>
      <c r="AN129" s="391">
        <f t="shared" si="59"/>
        <v>0</v>
      </c>
      <c r="AO129" s="403">
        <f t="shared" si="60"/>
        <v>0</v>
      </c>
      <c r="AP129" s="405"/>
      <c r="AQ129" s="390" t="e">
        <f t="shared" si="61"/>
        <v>#N/A</v>
      </c>
      <c r="AR129" s="408">
        <f t="shared" si="62"/>
        <v>0</v>
      </c>
      <c r="AS129" s="409" t="str">
        <f t="shared" si="47"/>
        <v/>
      </c>
      <c r="AT129" s="416"/>
    </row>
    <row r="130" spans="1:46" ht="15" x14ac:dyDescent="0.25">
      <c r="A130" s="592">
        <v>127</v>
      </c>
      <c r="B130" s="604"/>
      <c r="C130" s="302"/>
      <c r="D130" s="304"/>
      <c r="E130" s="306"/>
      <c r="F130" s="698"/>
      <c r="G130" s="304"/>
      <c r="H130" s="304"/>
      <c r="I130" s="304"/>
      <c r="J130" s="304"/>
      <c r="K130" s="307"/>
      <c r="L130" s="590" t="str">
        <f t="shared" si="46"/>
        <v/>
      </c>
      <c r="M130" s="416"/>
      <c r="N130" s="405"/>
      <c r="O130" s="468" t="str">
        <f t="shared" si="63"/>
        <v xml:space="preserve"> </v>
      </c>
      <c r="P130" s="468" t="str">
        <f t="shared" si="64"/>
        <v xml:space="preserve"> </v>
      </c>
      <c r="Q130" s="468" t="str">
        <f t="shared" si="65"/>
        <v xml:space="preserve"> </v>
      </c>
      <c r="R130" s="468" t="str">
        <f t="shared" si="66"/>
        <v xml:space="preserve"> </v>
      </c>
      <c r="S130" s="468" t="str">
        <f t="shared" si="67"/>
        <v xml:space="preserve"> </v>
      </c>
      <c r="T130" s="468" t="str">
        <f t="shared" si="68"/>
        <v xml:space="preserve"> </v>
      </c>
      <c r="U130" s="405"/>
      <c r="V130" s="405"/>
      <c r="W130" s="405"/>
      <c r="X130" s="405"/>
      <c r="Y130" s="405"/>
      <c r="Z130" s="405"/>
      <c r="AA130" s="405"/>
      <c r="AB130" s="405"/>
      <c r="AC130" s="389" t="e">
        <f t="shared" si="48"/>
        <v>#N/A</v>
      </c>
      <c r="AD130" s="390">
        <f t="shared" si="49"/>
        <v>0</v>
      </c>
      <c r="AE130" s="390">
        <f t="shared" si="50"/>
        <v>0</v>
      </c>
      <c r="AF130" s="391">
        <f t="shared" si="51"/>
        <v>0</v>
      </c>
      <c r="AG130" s="392">
        <f t="shared" si="52"/>
        <v>0</v>
      </c>
      <c r="AH130" s="392">
        <f t="shared" si="53"/>
        <v>0</v>
      </c>
      <c r="AI130" s="392">
        <f t="shared" si="54"/>
        <v>0</v>
      </c>
      <c r="AJ130" s="393">
        <f t="shared" si="55"/>
        <v>0</v>
      </c>
      <c r="AK130" s="391">
        <f t="shared" si="56"/>
        <v>0</v>
      </c>
      <c r="AL130" s="391">
        <f t="shared" si="57"/>
        <v>0</v>
      </c>
      <c r="AM130" s="391">
        <f t="shared" si="58"/>
        <v>0</v>
      </c>
      <c r="AN130" s="391">
        <f t="shared" si="59"/>
        <v>0</v>
      </c>
      <c r="AO130" s="403">
        <f t="shared" si="60"/>
        <v>0</v>
      </c>
      <c r="AP130" s="405"/>
      <c r="AQ130" s="390" t="e">
        <f t="shared" si="61"/>
        <v>#N/A</v>
      </c>
      <c r="AR130" s="408">
        <f t="shared" si="62"/>
        <v>0</v>
      </c>
      <c r="AS130" s="409" t="str">
        <f t="shared" si="47"/>
        <v/>
      </c>
      <c r="AT130" s="416"/>
    </row>
    <row r="131" spans="1:46" ht="15" x14ac:dyDescent="0.25">
      <c r="A131" s="592">
        <v>128</v>
      </c>
      <c r="B131" s="604"/>
      <c r="C131" s="302"/>
      <c r="D131" s="304"/>
      <c r="E131" s="306"/>
      <c r="F131" s="698"/>
      <c r="G131" s="304"/>
      <c r="H131" s="304"/>
      <c r="I131" s="304"/>
      <c r="J131" s="304"/>
      <c r="K131" s="307"/>
      <c r="L131" s="590" t="str">
        <f t="shared" si="46"/>
        <v/>
      </c>
      <c r="M131" s="416"/>
      <c r="N131" s="405"/>
      <c r="O131" s="468" t="str">
        <f t="shared" si="63"/>
        <v xml:space="preserve"> </v>
      </c>
      <c r="P131" s="468" t="str">
        <f t="shared" si="64"/>
        <v xml:space="preserve"> </v>
      </c>
      <c r="Q131" s="468" t="str">
        <f t="shared" si="65"/>
        <v xml:space="preserve"> </v>
      </c>
      <c r="R131" s="468" t="str">
        <f t="shared" si="66"/>
        <v xml:space="preserve"> </v>
      </c>
      <c r="S131" s="468" t="str">
        <f t="shared" si="67"/>
        <v xml:space="preserve"> </v>
      </c>
      <c r="T131" s="468" t="str">
        <f t="shared" si="68"/>
        <v xml:space="preserve"> </v>
      </c>
      <c r="U131" s="405"/>
      <c r="V131" s="405"/>
      <c r="W131" s="405"/>
      <c r="X131" s="405"/>
      <c r="Y131" s="405"/>
      <c r="Z131" s="405"/>
      <c r="AA131" s="405"/>
      <c r="AB131" s="405"/>
      <c r="AC131" s="389" t="e">
        <f t="shared" si="48"/>
        <v>#N/A</v>
      </c>
      <c r="AD131" s="390">
        <f t="shared" si="49"/>
        <v>0</v>
      </c>
      <c r="AE131" s="390">
        <f t="shared" si="50"/>
        <v>0</v>
      </c>
      <c r="AF131" s="391">
        <f t="shared" si="51"/>
        <v>0</v>
      </c>
      <c r="AG131" s="392">
        <f t="shared" si="52"/>
        <v>0</v>
      </c>
      <c r="AH131" s="392">
        <f t="shared" si="53"/>
        <v>0</v>
      </c>
      <c r="AI131" s="392">
        <f t="shared" si="54"/>
        <v>0</v>
      </c>
      <c r="AJ131" s="393">
        <f t="shared" si="55"/>
        <v>0</v>
      </c>
      <c r="AK131" s="391">
        <f t="shared" si="56"/>
        <v>0</v>
      </c>
      <c r="AL131" s="391">
        <f t="shared" si="57"/>
        <v>0</v>
      </c>
      <c r="AM131" s="391">
        <f t="shared" si="58"/>
        <v>0</v>
      </c>
      <c r="AN131" s="391">
        <f t="shared" si="59"/>
        <v>0</v>
      </c>
      <c r="AO131" s="403">
        <f t="shared" si="60"/>
        <v>0</v>
      </c>
      <c r="AP131" s="405"/>
      <c r="AQ131" s="390" t="e">
        <f t="shared" si="61"/>
        <v>#N/A</v>
      </c>
      <c r="AR131" s="408">
        <f t="shared" si="62"/>
        <v>0</v>
      </c>
      <c r="AS131" s="409" t="str">
        <f t="shared" si="47"/>
        <v/>
      </c>
      <c r="AT131" s="416"/>
    </row>
    <row r="132" spans="1:46" ht="15" x14ac:dyDescent="0.25">
      <c r="A132" s="592">
        <v>129</v>
      </c>
      <c r="B132" s="604"/>
      <c r="C132" s="302"/>
      <c r="D132" s="304"/>
      <c r="E132" s="306"/>
      <c r="F132" s="698"/>
      <c r="G132" s="304"/>
      <c r="H132" s="304"/>
      <c r="I132" s="304"/>
      <c r="J132" s="304"/>
      <c r="K132" s="307"/>
      <c r="L132" s="590" t="str">
        <f t="shared" ref="L132:L195" si="69">IF(B132="No","N/A",AS132)</f>
        <v/>
      </c>
      <c r="M132" s="416"/>
      <c r="N132" s="405"/>
      <c r="O132" s="468" t="str">
        <f t="shared" si="63"/>
        <v xml:space="preserve"> </v>
      </c>
      <c r="P132" s="468" t="str">
        <f t="shared" si="64"/>
        <v xml:space="preserve"> </v>
      </c>
      <c r="Q132" s="468" t="str">
        <f t="shared" si="65"/>
        <v xml:space="preserve"> </v>
      </c>
      <c r="R132" s="468" t="str">
        <f t="shared" si="66"/>
        <v xml:space="preserve"> </v>
      </c>
      <c r="S132" s="468" t="str">
        <f t="shared" si="67"/>
        <v xml:space="preserve"> </v>
      </c>
      <c r="T132" s="468" t="str">
        <f t="shared" si="68"/>
        <v xml:space="preserve"> </v>
      </c>
      <c r="U132" s="405"/>
      <c r="V132" s="405"/>
      <c r="W132" s="405"/>
      <c r="X132" s="405"/>
      <c r="Y132" s="405"/>
      <c r="Z132" s="405"/>
      <c r="AA132" s="405"/>
      <c r="AB132" s="405"/>
      <c r="AC132" s="389" t="e">
        <f t="shared" si="48"/>
        <v>#N/A</v>
      </c>
      <c r="AD132" s="390">
        <f t="shared" si="49"/>
        <v>0</v>
      </c>
      <c r="AE132" s="390">
        <f t="shared" si="50"/>
        <v>0</v>
      </c>
      <c r="AF132" s="391">
        <f t="shared" si="51"/>
        <v>0</v>
      </c>
      <c r="AG132" s="392">
        <f t="shared" si="52"/>
        <v>0</v>
      </c>
      <c r="AH132" s="392">
        <f t="shared" si="53"/>
        <v>0</v>
      </c>
      <c r="AI132" s="392">
        <f t="shared" si="54"/>
        <v>0</v>
      </c>
      <c r="AJ132" s="393">
        <f t="shared" si="55"/>
        <v>0</v>
      </c>
      <c r="AK132" s="391">
        <f t="shared" si="56"/>
        <v>0</v>
      </c>
      <c r="AL132" s="391">
        <f t="shared" si="57"/>
        <v>0</v>
      </c>
      <c r="AM132" s="391">
        <f t="shared" si="58"/>
        <v>0</v>
      </c>
      <c r="AN132" s="391">
        <f t="shared" si="59"/>
        <v>0</v>
      </c>
      <c r="AO132" s="403">
        <f t="shared" si="60"/>
        <v>0</v>
      </c>
      <c r="AP132" s="405"/>
      <c r="AQ132" s="390" t="e">
        <f t="shared" si="61"/>
        <v>#N/A</v>
      </c>
      <c r="AR132" s="408">
        <f t="shared" si="62"/>
        <v>0</v>
      </c>
      <c r="AS132" s="409" t="str">
        <f t="shared" ref="AS132:AS195" si="70">IFERROR(IF(AR132 &gt; AQ132, "No", IF(AR132 &lt; AQ132, "Yes", IF(AR132 = AQ132, "Yes", ""))), "")</f>
        <v/>
      </c>
      <c r="AT132" s="416"/>
    </row>
    <row r="133" spans="1:46" ht="15" x14ac:dyDescent="0.25">
      <c r="A133" s="592">
        <v>130</v>
      </c>
      <c r="B133" s="604"/>
      <c r="C133" s="302"/>
      <c r="D133" s="304"/>
      <c r="E133" s="306"/>
      <c r="F133" s="698"/>
      <c r="G133" s="304"/>
      <c r="H133" s="304"/>
      <c r="I133" s="304"/>
      <c r="J133" s="304"/>
      <c r="K133" s="307"/>
      <c r="L133" s="590" t="str">
        <f t="shared" si="69"/>
        <v/>
      </c>
      <c r="M133" s="416"/>
      <c r="N133" s="405"/>
      <c r="O133" s="468" t="str">
        <f t="shared" si="63"/>
        <v xml:space="preserve"> </v>
      </c>
      <c r="P133" s="468" t="str">
        <f t="shared" si="64"/>
        <v xml:space="preserve"> </v>
      </c>
      <c r="Q133" s="468" t="str">
        <f t="shared" si="65"/>
        <v xml:space="preserve"> </v>
      </c>
      <c r="R133" s="468" t="str">
        <f t="shared" si="66"/>
        <v xml:space="preserve"> </v>
      </c>
      <c r="S133" s="468" t="str">
        <f t="shared" si="67"/>
        <v xml:space="preserve"> </v>
      </c>
      <c r="T133" s="468" t="str">
        <f t="shared" si="68"/>
        <v xml:space="preserve"> </v>
      </c>
      <c r="U133" s="405"/>
      <c r="V133" s="405"/>
      <c r="W133" s="405"/>
      <c r="X133" s="405"/>
      <c r="Y133" s="405"/>
      <c r="Z133" s="405"/>
      <c r="AA133" s="405"/>
      <c r="AB133" s="405"/>
      <c r="AC133" s="389" t="e">
        <f t="shared" si="48"/>
        <v>#N/A</v>
      </c>
      <c r="AD133" s="390">
        <f t="shared" si="49"/>
        <v>0</v>
      </c>
      <c r="AE133" s="390">
        <f t="shared" si="50"/>
        <v>0</v>
      </c>
      <c r="AF133" s="391">
        <f t="shared" si="51"/>
        <v>0</v>
      </c>
      <c r="AG133" s="392">
        <f t="shared" si="52"/>
        <v>0</v>
      </c>
      <c r="AH133" s="392">
        <f t="shared" si="53"/>
        <v>0</v>
      </c>
      <c r="AI133" s="392">
        <f t="shared" si="54"/>
        <v>0</v>
      </c>
      <c r="AJ133" s="393">
        <f t="shared" si="55"/>
        <v>0</v>
      </c>
      <c r="AK133" s="391">
        <f t="shared" si="56"/>
        <v>0</v>
      </c>
      <c r="AL133" s="391">
        <f t="shared" si="57"/>
        <v>0</v>
      </c>
      <c r="AM133" s="391">
        <f t="shared" si="58"/>
        <v>0</v>
      </c>
      <c r="AN133" s="391">
        <f t="shared" si="59"/>
        <v>0</v>
      </c>
      <c r="AO133" s="403">
        <f t="shared" si="60"/>
        <v>0</v>
      </c>
      <c r="AP133" s="405"/>
      <c r="AQ133" s="390" t="e">
        <f t="shared" si="61"/>
        <v>#N/A</v>
      </c>
      <c r="AR133" s="408">
        <f t="shared" si="62"/>
        <v>0</v>
      </c>
      <c r="AS133" s="409" t="str">
        <f t="shared" si="70"/>
        <v/>
      </c>
      <c r="AT133" s="416"/>
    </row>
    <row r="134" spans="1:46" ht="15" x14ac:dyDescent="0.25">
      <c r="A134" s="592">
        <v>131</v>
      </c>
      <c r="B134" s="604"/>
      <c r="C134" s="302"/>
      <c r="D134" s="304"/>
      <c r="E134" s="306"/>
      <c r="F134" s="698"/>
      <c r="G134" s="304"/>
      <c r="H134" s="304"/>
      <c r="I134" s="304"/>
      <c r="J134" s="304"/>
      <c r="K134" s="307"/>
      <c r="L134" s="590" t="str">
        <f t="shared" si="69"/>
        <v/>
      </c>
      <c r="M134" s="416"/>
      <c r="N134" s="405"/>
      <c r="O134" s="468" t="str">
        <f t="shared" si="63"/>
        <v xml:space="preserve"> </v>
      </c>
      <c r="P134" s="468" t="str">
        <f t="shared" si="64"/>
        <v xml:space="preserve"> </v>
      </c>
      <c r="Q134" s="468" t="str">
        <f t="shared" si="65"/>
        <v xml:space="preserve"> </v>
      </c>
      <c r="R134" s="468" t="str">
        <f t="shared" si="66"/>
        <v xml:space="preserve"> </v>
      </c>
      <c r="S134" s="468" t="str">
        <f t="shared" si="67"/>
        <v xml:space="preserve"> </v>
      </c>
      <c r="T134" s="468" t="str">
        <f t="shared" si="68"/>
        <v xml:space="preserve"> </v>
      </c>
      <c r="U134" s="405"/>
      <c r="V134" s="405"/>
      <c r="W134" s="405"/>
      <c r="X134" s="405"/>
      <c r="Y134" s="405"/>
      <c r="Z134" s="405"/>
      <c r="AA134" s="405"/>
      <c r="AB134" s="405"/>
      <c r="AC134" s="389" t="e">
        <f t="shared" si="48"/>
        <v>#N/A</v>
      </c>
      <c r="AD134" s="390">
        <f t="shared" si="49"/>
        <v>0</v>
      </c>
      <c r="AE134" s="390">
        <f t="shared" si="50"/>
        <v>0</v>
      </c>
      <c r="AF134" s="391">
        <f t="shared" si="51"/>
        <v>0</v>
      </c>
      <c r="AG134" s="392">
        <f t="shared" si="52"/>
        <v>0</v>
      </c>
      <c r="AH134" s="392">
        <f t="shared" si="53"/>
        <v>0</v>
      </c>
      <c r="AI134" s="392">
        <f t="shared" si="54"/>
        <v>0</v>
      </c>
      <c r="AJ134" s="393">
        <f t="shared" si="55"/>
        <v>0</v>
      </c>
      <c r="AK134" s="391">
        <f t="shared" si="56"/>
        <v>0</v>
      </c>
      <c r="AL134" s="391">
        <f t="shared" si="57"/>
        <v>0</v>
      </c>
      <c r="AM134" s="391">
        <f t="shared" si="58"/>
        <v>0</v>
      </c>
      <c r="AN134" s="391">
        <f t="shared" si="59"/>
        <v>0</v>
      </c>
      <c r="AO134" s="403">
        <f t="shared" si="60"/>
        <v>0</v>
      </c>
      <c r="AP134" s="405"/>
      <c r="AQ134" s="390" t="e">
        <f t="shared" si="61"/>
        <v>#N/A</v>
      </c>
      <c r="AR134" s="408">
        <f t="shared" si="62"/>
        <v>0</v>
      </c>
      <c r="AS134" s="409" t="str">
        <f t="shared" si="70"/>
        <v/>
      </c>
      <c r="AT134" s="416"/>
    </row>
    <row r="135" spans="1:46" ht="15" x14ac:dyDescent="0.25">
      <c r="A135" s="592">
        <v>132</v>
      </c>
      <c r="B135" s="604"/>
      <c r="C135" s="302"/>
      <c r="D135" s="304"/>
      <c r="E135" s="306"/>
      <c r="F135" s="698"/>
      <c r="G135" s="304"/>
      <c r="H135" s="304"/>
      <c r="I135" s="304"/>
      <c r="J135" s="304"/>
      <c r="K135" s="307"/>
      <c r="L135" s="590" t="str">
        <f t="shared" si="69"/>
        <v/>
      </c>
      <c r="M135" s="416"/>
      <c r="N135" s="405"/>
      <c r="O135" s="468" t="str">
        <f t="shared" si="63"/>
        <v xml:space="preserve"> </v>
      </c>
      <c r="P135" s="468" t="str">
        <f t="shared" si="64"/>
        <v xml:space="preserve"> </v>
      </c>
      <c r="Q135" s="468" t="str">
        <f t="shared" si="65"/>
        <v xml:space="preserve"> </v>
      </c>
      <c r="R135" s="468" t="str">
        <f t="shared" si="66"/>
        <v xml:space="preserve"> </v>
      </c>
      <c r="S135" s="468" t="str">
        <f t="shared" si="67"/>
        <v xml:space="preserve"> </v>
      </c>
      <c r="T135" s="468" t="str">
        <f t="shared" si="68"/>
        <v xml:space="preserve"> </v>
      </c>
      <c r="U135" s="405"/>
      <c r="V135" s="405"/>
      <c r="W135" s="405"/>
      <c r="X135" s="405"/>
      <c r="Y135" s="405"/>
      <c r="Z135" s="405"/>
      <c r="AA135" s="405"/>
      <c r="AB135" s="405"/>
      <c r="AC135" s="389" t="e">
        <f t="shared" si="48"/>
        <v>#N/A</v>
      </c>
      <c r="AD135" s="390">
        <f t="shared" si="49"/>
        <v>0</v>
      </c>
      <c r="AE135" s="390">
        <f t="shared" si="50"/>
        <v>0</v>
      </c>
      <c r="AF135" s="391">
        <f t="shared" si="51"/>
        <v>0</v>
      </c>
      <c r="AG135" s="392">
        <f t="shared" si="52"/>
        <v>0</v>
      </c>
      <c r="AH135" s="392">
        <f t="shared" si="53"/>
        <v>0</v>
      </c>
      <c r="AI135" s="392">
        <f t="shared" si="54"/>
        <v>0</v>
      </c>
      <c r="AJ135" s="393">
        <f t="shared" si="55"/>
        <v>0</v>
      </c>
      <c r="AK135" s="391">
        <f t="shared" si="56"/>
        <v>0</v>
      </c>
      <c r="AL135" s="391">
        <f t="shared" si="57"/>
        <v>0</v>
      </c>
      <c r="AM135" s="391">
        <f t="shared" si="58"/>
        <v>0</v>
      </c>
      <c r="AN135" s="391">
        <f t="shared" si="59"/>
        <v>0</v>
      </c>
      <c r="AO135" s="403">
        <f t="shared" si="60"/>
        <v>0</v>
      </c>
      <c r="AP135" s="405"/>
      <c r="AQ135" s="390" t="e">
        <f t="shared" si="61"/>
        <v>#N/A</v>
      </c>
      <c r="AR135" s="408">
        <f t="shared" si="62"/>
        <v>0</v>
      </c>
      <c r="AS135" s="409" t="str">
        <f t="shared" si="70"/>
        <v/>
      </c>
      <c r="AT135" s="416"/>
    </row>
    <row r="136" spans="1:46" ht="15" x14ac:dyDescent="0.25">
      <c r="A136" s="592">
        <v>133</v>
      </c>
      <c r="B136" s="604"/>
      <c r="C136" s="302"/>
      <c r="D136" s="304"/>
      <c r="E136" s="306"/>
      <c r="F136" s="698"/>
      <c r="G136" s="304"/>
      <c r="H136" s="304"/>
      <c r="I136" s="304"/>
      <c r="J136" s="304"/>
      <c r="K136" s="307"/>
      <c r="L136" s="590" t="str">
        <f t="shared" si="69"/>
        <v/>
      </c>
      <c r="M136" s="416"/>
      <c r="N136" s="405"/>
      <c r="O136" s="468" t="str">
        <f t="shared" si="63"/>
        <v xml:space="preserve"> </v>
      </c>
      <c r="P136" s="468" t="str">
        <f t="shared" si="64"/>
        <v xml:space="preserve"> </v>
      </c>
      <c r="Q136" s="468" t="str">
        <f t="shared" si="65"/>
        <v xml:space="preserve"> </v>
      </c>
      <c r="R136" s="468" t="str">
        <f t="shared" si="66"/>
        <v xml:space="preserve"> </v>
      </c>
      <c r="S136" s="468" t="str">
        <f t="shared" si="67"/>
        <v xml:space="preserve"> </v>
      </c>
      <c r="T136" s="468" t="str">
        <f t="shared" si="68"/>
        <v xml:space="preserve"> </v>
      </c>
      <c r="U136" s="405"/>
      <c r="V136" s="405"/>
      <c r="W136" s="405"/>
      <c r="X136" s="405"/>
      <c r="Y136" s="405"/>
      <c r="Z136" s="405"/>
      <c r="AA136" s="405"/>
      <c r="AB136" s="405"/>
      <c r="AC136" s="389" t="e">
        <f t="shared" si="48"/>
        <v>#N/A</v>
      </c>
      <c r="AD136" s="390">
        <f t="shared" si="49"/>
        <v>0</v>
      </c>
      <c r="AE136" s="390">
        <f t="shared" si="50"/>
        <v>0</v>
      </c>
      <c r="AF136" s="391">
        <f t="shared" si="51"/>
        <v>0</v>
      </c>
      <c r="AG136" s="392">
        <f t="shared" si="52"/>
        <v>0</v>
      </c>
      <c r="AH136" s="392">
        <f t="shared" si="53"/>
        <v>0</v>
      </c>
      <c r="AI136" s="392">
        <f t="shared" si="54"/>
        <v>0</v>
      </c>
      <c r="AJ136" s="393">
        <f t="shared" si="55"/>
        <v>0</v>
      </c>
      <c r="AK136" s="391">
        <f t="shared" si="56"/>
        <v>0</v>
      </c>
      <c r="AL136" s="391">
        <f t="shared" si="57"/>
        <v>0</v>
      </c>
      <c r="AM136" s="391">
        <f t="shared" si="58"/>
        <v>0</v>
      </c>
      <c r="AN136" s="391">
        <f t="shared" si="59"/>
        <v>0</v>
      </c>
      <c r="AO136" s="403">
        <f t="shared" si="60"/>
        <v>0</v>
      </c>
      <c r="AP136" s="405"/>
      <c r="AQ136" s="390" t="e">
        <f t="shared" si="61"/>
        <v>#N/A</v>
      </c>
      <c r="AR136" s="408">
        <f t="shared" si="62"/>
        <v>0</v>
      </c>
      <c r="AS136" s="409" t="str">
        <f t="shared" si="70"/>
        <v/>
      </c>
      <c r="AT136" s="416"/>
    </row>
    <row r="137" spans="1:46" ht="15" x14ac:dyDescent="0.25">
      <c r="A137" s="592">
        <v>134</v>
      </c>
      <c r="B137" s="604"/>
      <c r="C137" s="302"/>
      <c r="D137" s="304"/>
      <c r="E137" s="306"/>
      <c r="F137" s="698"/>
      <c r="G137" s="304"/>
      <c r="H137" s="304"/>
      <c r="I137" s="304"/>
      <c r="J137" s="304"/>
      <c r="K137" s="307"/>
      <c r="L137" s="590" t="str">
        <f t="shared" si="69"/>
        <v/>
      </c>
      <c r="M137" s="416"/>
      <c r="N137" s="405"/>
      <c r="O137" s="468" t="str">
        <f t="shared" si="63"/>
        <v xml:space="preserve"> </v>
      </c>
      <c r="P137" s="468" t="str">
        <f t="shared" si="64"/>
        <v xml:space="preserve"> </v>
      </c>
      <c r="Q137" s="468" t="str">
        <f t="shared" si="65"/>
        <v xml:space="preserve"> </v>
      </c>
      <c r="R137" s="468" t="str">
        <f t="shared" si="66"/>
        <v xml:space="preserve"> </v>
      </c>
      <c r="S137" s="468" t="str">
        <f t="shared" si="67"/>
        <v xml:space="preserve"> </v>
      </c>
      <c r="T137" s="468" t="str">
        <f t="shared" si="68"/>
        <v xml:space="preserve"> </v>
      </c>
      <c r="U137" s="405"/>
      <c r="V137" s="405"/>
      <c r="W137" s="405"/>
      <c r="X137" s="405"/>
      <c r="Y137" s="405"/>
      <c r="Z137" s="405"/>
      <c r="AA137" s="405"/>
      <c r="AB137" s="405"/>
      <c r="AC137" s="389" t="e">
        <f t="shared" si="48"/>
        <v>#N/A</v>
      </c>
      <c r="AD137" s="390">
        <f t="shared" si="49"/>
        <v>0</v>
      </c>
      <c r="AE137" s="390">
        <f t="shared" si="50"/>
        <v>0</v>
      </c>
      <c r="AF137" s="391">
        <f t="shared" si="51"/>
        <v>0</v>
      </c>
      <c r="AG137" s="392">
        <f t="shared" si="52"/>
        <v>0</v>
      </c>
      <c r="AH137" s="392">
        <f t="shared" si="53"/>
        <v>0</v>
      </c>
      <c r="AI137" s="392">
        <f t="shared" si="54"/>
        <v>0</v>
      </c>
      <c r="AJ137" s="393">
        <f t="shared" si="55"/>
        <v>0</v>
      </c>
      <c r="AK137" s="391">
        <f t="shared" si="56"/>
        <v>0</v>
      </c>
      <c r="AL137" s="391">
        <f t="shared" si="57"/>
        <v>0</v>
      </c>
      <c r="AM137" s="391">
        <f t="shared" si="58"/>
        <v>0</v>
      </c>
      <c r="AN137" s="391">
        <f t="shared" si="59"/>
        <v>0</v>
      </c>
      <c r="AO137" s="403">
        <f t="shared" si="60"/>
        <v>0</v>
      </c>
      <c r="AP137" s="405"/>
      <c r="AQ137" s="390" t="e">
        <f t="shared" si="61"/>
        <v>#N/A</v>
      </c>
      <c r="AR137" s="408">
        <f t="shared" si="62"/>
        <v>0</v>
      </c>
      <c r="AS137" s="409" t="str">
        <f t="shared" si="70"/>
        <v/>
      </c>
      <c r="AT137" s="416"/>
    </row>
    <row r="138" spans="1:46" ht="15" x14ac:dyDescent="0.25">
      <c r="A138" s="592">
        <v>135</v>
      </c>
      <c r="B138" s="604"/>
      <c r="C138" s="302"/>
      <c r="D138" s="304"/>
      <c r="E138" s="306"/>
      <c r="F138" s="698"/>
      <c r="G138" s="304"/>
      <c r="H138" s="304"/>
      <c r="I138" s="304"/>
      <c r="J138" s="304"/>
      <c r="K138" s="307"/>
      <c r="L138" s="590" t="str">
        <f t="shared" si="69"/>
        <v/>
      </c>
      <c r="M138" s="416"/>
      <c r="N138" s="405"/>
      <c r="O138" s="468" t="str">
        <f t="shared" si="63"/>
        <v xml:space="preserve"> </v>
      </c>
      <c r="P138" s="468" t="str">
        <f t="shared" si="64"/>
        <v xml:space="preserve"> </v>
      </c>
      <c r="Q138" s="468" t="str">
        <f t="shared" si="65"/>
        <v xml:space="preserve"> </v>
      </c>
      <c r="R138" s="468" t="str">
        <f t="shared" si="66"/>
        <v xml:space="preserve"> </v>
      </c>
      <c r="S138" s="468" t="str">
        <f t="shared" si="67"/>
        <v xml:space="preserve"> </v>
      </c>
      <c r="T138" s="468" t="str">
        <f t="shared" si="68"/>
        <v xml:space="preserve"> </v>
      </c>
      <c r="U138" s="405"/>
      <c r="V138" s="405"/>
      <c r="W138" s="405"/>
      <c r="X138" s="405"/>
      <c r="Y138" s="405"/>
      <c r="Z138" s="405"/>
      <c r="AA138" s="405"/>
      <c r="AB138" s="405"/>
      <c r="AC138" s="389" t="e">
        <f t="shared" si="48"/>
        <v>#N/A</v>
      </c>
      <c r="AD138" s="390">
        <f t="shared" si="49"/>
        <v>0</v>
      </c>
      <c r="AE138" s="390">
        <f t="shared" si="50"/>
        <v>0</v>
      </c>
      <c r="AF138" s="391">
        <f t="shared" si="51"/>
        <v>0</v>
      </c>
      <c r="AG138" s="392">
        <f t="shared" si="52"/>
        <v>0</v>
      </c>
      <c r="AH138" s="392">
        <f t="shared" si="53"/>
        <v>0</v>
      </c>
      <c r="AI138" s="392">
        <f t="shared" si="54"/>
        <v>0</v>
      </c>
      <c r="AJ138" s="393">
        <f t="shared" si="55"/>
        <v>0</v>
      </c>
      <c r="AK138" s="391">
        <f t="shared" si="56"/>
        <v>0</v>
      </c>
      <c r="AL138" s="391">
        <f t="shared" si="57"/>
        <v>0</v>
      </c>
      <c r="AM138" s="391">
        <f t="shared" si="58"/>
        <v>0</v>
      </c>
      <c r="AN138" s="391">
        <f t="shared" si="59"/>
        <v>0</v>
      </c>
      <c r="AO138" s="403">
        <f t="shared" si="60"/>
        <v>0</v>
      </c>
      <c r="AP138" s="405"/>
      <c r="AQ138" s="390" t="e">
        <f t="shared" si="61"/>
        <v>#N/A</v>
      </c>
      <c r="AR138" s="408">
        <f t="shared" si="62"/>
        <v>0</v>
      </c>
      <c r="AS138" s="409" t="str">
        <f t="shared" si="70"/>
        <v/>
      </c>
      <c r="AT138" s="416"/>
    </row>
    <row r="139" spans="1:46" ht="15" x14ac:dyDescent="0.25">
      <c r="A139" s="592">
        <v>136</v>
      </c>
      <c r="B139" s="604"/>
      <c r="C139" s="302"/>
      <c r="D139" s="304"/>
      <c r="E139" s="306"/>
      <c r="F139" s="698"/>
      <c r="G139" s="304"/>
      <c r="H139" s="304"/>
      <c r="I139" s="304"/>
      <c r="J139" s="304"/>
      <c r="K139" s="307"/>
      <c r="L139" s="590" t="str">
        <f t="shared" si="69"/>
        <v/>
      </c>
      <c r="M139" s="416"/>
      <c r="N139" s="405"/>
      <c r="O139" s="468" t="str">
        <f t="shared" si="63"/>
        <v xml:space="preserve"> </v>
      </c>
      <c r="P139" s="468" t="str">
        <f t="shared" si="64"/>
        <v xml:space="preserve"> </v>
      </c>
      <c r="Q139" s="468" t="str">
        <f t="shared" si="65"/>
        <v xml:space="preserve"> </v>
      </c>
      <c r="R139" s="468" t="str">
        <f t="shared" si="66"/>
        <v xml:space="preserve"> </v>
      </c>
      <c r="S139" s="468" t="str">
        <f t="shared" si="67"/>
        <v xml:space="preserve"> </v>
      </c>
      <c r="T139" s="468" t="str">
        <f t="shared" si="68"/>
        <v xml:space="preserve"> </v>
      </c>
      <c r="U139" s="405"/>
      <c r="V139" s="405"/>
      <c r="W139" s="405"/>
      <c r="X139" s="405"/>
      <c r="Y139" s="405"/>
      <c r="Z139" s="405"/>
      <c r="AA139" s="405"/>
      <c r="AB139" s="405"/>
      <c r="AC139" s="389" t="e">
        <f t="shared" si="48"/>
        <v>#N/A</v>
      </c>
      <c r="AD139" s="390">
        <f t="shared" si="49"/>
        <v>0</v>
      </c>
      <c r="AE139" s="390">
        <f t="shared" si="50"/>
        <v>0</v>
      </c>
      <c r="AF139" s="391">
        <f t="shared" si="51"/>
        <v>0</v>
      </c>
      <c r="AG139" s="392">
        <f t="shared" si="52"/>
        <v>0</v>
      </c>
      <c r="AH139" s="392">
        <f t="shared" si="53"/>
        <v>0</v>
      </c>
      <c r="AI139" s="392">
        <f t="shared" si="54"/>
        <v>0</v>
      </c>
      <c r="AJ139" s="393">
        <f t="shared" si="55"/>
        <v>0</v>
      </c>
      <c r="AK139" s="391">
        <f t="shared" si="56"/>
        <v>0</v>
      </c>
      <c r="AL139" s="391">
        <f t="shared" si="57"/>
        <v>0</v>
      </c>
      <c r="AM139" s="391">
        <f t="shared" si="58"/>
        <v>0</v>
      </c>
      <c r="AN139" s="391">
        <f t="shared" si="59"/>
        <v>0</v>
      </c>
      <c r="AO139" s="403">
        <f t="shared" si="60"/>
        <v>0</v>
      </c>
      <c r="AP139" s="405"/>
      <c r="AQ139" s="390" t="e">
        <f t="shared" si="61"/>
        <v>#N/A</v>
      </c>
      <c r="AR139" s="408">
        <f t="shared" si="62"/>
        <v>0</v>
      </c>
      <c r="AS139" s="409" t="str">
        <f t="shared" si="70"/>
        <v/>
      </c>
      <c r="AT139" s="416"/>
    </row>
    <row r="140" spans="1:46" ht="15" x14ac:dyDescent="0.25">
      <c r="A140" s="592">
        <v>137</v>
      </c>
      <c r="B140" s="604"/>
      <c r="C140" s="302"/>
      <c r="D140" s="304"/>
      <c r="E140" s="306"/>
      <c r="F140" s="698"/>
      <c r="G140" s="304"/>
      <c r="H140" s="304"/>
      <c r="I140" s="304"/>
      <c r="J140" s="304"/>
      <c r="K140" s="307"/>
      <c r="L140" s="590" t="str">
        <f t="shared" si="69"/>
        <v/>
      </c>
      <c r="M140" s="416"/>
      <c r="N140" s="405"/>
      <c r="O140" s="468" t="str">
        <f t="shared" si="63"/>
        <v xml:space="preserve"> </v>
      </c>
      <c r="P140" s="468" t="str">
        <f t="shared" si="64"/>
        <v xml:space="preserve"> </v>
      </c>
      <c r="Q140" s="468" t="str">
        <f t="shared" si="65"/>
        <v xml:space="preserve"> </v>
      </c>
      <c r="R140" s="468" t="str">
        <f t="shared" si="66"/>
        <v xml:space="preserve"> </v>
      </c>
      <c r="S140" s="468" t="str">
        <f t="shared" si="67"/>
        <v xml:space="preserve"> </v>
      </c>
      <c r="T140" s="468" t="str">
        <f t="shared" si="68"/>
        <v xml:space="preserve"> </v>
      </c>
      <c r="U140" s="405"/>
      <c r="V140" s="405"/>
      <c r="W140" s="405"/>
      <c r="X140" s="405"/>
      <c r="Y140" s="405"/>
      <c r="Z140" s="405"/>
      <c r="AA140" s="405"/>
      <c r="AB140" s="405"/>
      <c r="AC140" s="389" t="e">
        <f t="shared" si="48"/>
        <v>#N/A</v>
      </c>
      <c r="AD140" s="390">
        <f t="shared" si="49"/>
        <v>0</v>
      </c>
      <c r="AE140" s="390">
        <f t="shared" si="50"/>
        <v>0</v>
      </c>
      <c r="AF140" s="391">
        <f t="shared" si="51"/>
        <v>0</v>
      </c>
      <c r="AG140" s="392">
        <f t="shared" si="52"/>
        <v>0</v>
      </c>
      <c r="AH140" s="392">
        <f t="shared" si="53"/>
        <v>0</v>
      </c>
      <c r="AI140" s="392">
        <f t="shared" si="54"/>
        <v>0</v>
      </c>
      <c r="AJ140" s="393">
        <f t="shared" si="55"/>
        <v>0</v>
      </c>
      <c r="AK140" s="391">
        <f t="shared" si="56"/>
        <v>0</v>
      </c>
      <c r="AL140" s="391">
        <f t="shared" si="57"/>
        <v>0</v>
      </c>
      <c r="AM140" s="391">
        <f t="shared" si="58"/>
        <v>0</v>
      </c>
      <c r="AN140" s="391">
        <f t="shared" si="59"/>
        <v>0</v>
      </c>
      <c r="AO140" s="403">
        <f t="shared" si="60"/>
        <v>0</v>
      </c>
      <c r="AP140" s="405"/>
      <c r="AQ140" s="390" t="e">
        <f t="shared" si="61"/>
        <v>#N/A</v>
      </c>
      <c r="AR140" s="408">
        <f t="shared" si="62"/>
        <v>0</v>
      </c>
      <c r="AS140" s="409" t="str">
        <f t="shared" si="70"/>
        <v/>
      </c>
      <c r="AT140" s="416"/>
    </row>
    <row r="141" spans="1:46" ht="15" x14ac:dyDescent="0.25">
      <c r="A141" s="592">
        <v>138</v>
      </c>
      <c r="B141" s="604"/>
      <c r="C141" s="302"/>
      <c r="D141" s="304"/>
      <c r="E141" s="306"/>
      <c r="F141" s="698"/>
      <c r="G141" s="304"/>
      <c r="H141" s="304"/>
      <c r="I141" s="304"/>
      <c r="J141" s="304"/>
      <c r="K141" s="307"/>
      <c r="L141" s="590" t="str">
        <f t="shared" si="69"/>
        <v/>
      </c>
      <c r="M141" s="416"/>
      <c r="N141" s="405"/>
      <c r="O141" s="468" t="str">
        <f t="shared" si="63"/>
        <v xml:space="preserve"> </v>
      </c>
      <c r="P141" s="468" t="str">
        <f t="shared" si="64"/>
        <v xml:space="preserve"> </v>
      </c>
      <c r="Q141" s="468" t="str">
        <f t="shared" si="65"/>
        <v xml:space="preserve"> </v>
      </c>
      <c r="R141" s="468" t="str">
        <f t="shared" si="66"/>
        <v xml:space="preserve"> </v>
      </c>
      <c r="S141" s="468" t="str">
        <f t="shared" si="67"/>
        <v xml:space="preserve"> </v>
      </c>
      <c r="T141" s="468" t="str">
        <f t="shared" si="68"/>
        <v xml:space="preserve"> </v>
      </c>
      <c r="U141" s="405"/>
      <c r="V141" s="405"/>
      <c r="W141" s="405"/>
      <c r="X141" s="405"/>
      <c r="Y141" s="405"/>
      <c r="Z141" s="405"/>
      <c r="AA141" s="405"/>
      <c r="AB141" s="405"/>
      <c r="AC141" s="389" t="e">
        <f t="shared" si="48"/>
        <v>#N/A</v>
      </c>
      <c r="AD141" s="390">
        <f t="shared" si="49"/>
        <v>0</v>
      </c>
      <c r="AE141" s="390">
        <f t="shared" si="50"/>
        <v>0</v>
      </c>
      <c r="AF141" s="391">
        <f t="shared" si="51"/>
        <v>0</v>
      </c>
      <c r="AG141" s="392">
        <f t="shared" si="52"/>
        <v>0</v>
      </c>
      <c r="AH141" s="392">
        <f t="shared" si="53"/>
        <v>0</v>
      </c>
      <c r="AI141" s="392">
        <f t="shared" si="54"/>
        <v>0</v>
      </c>
      <c r="AJ141" s="393">
        <f t="shared" si="55"/>
        <v>0</v>
      </c>
      <c r="AK141" s="391">
        <f t="shared" si="56"/>
        <v>0</v>
      </c>
      <c r="AL141" s="391">
        <f t="shared" si="57"/>
        <v>0</v>
      </c>
      <c r="AM141" s="391">
        <f t="shared" si="58"/>
        <v>0</v>
      </c>
      <c r="AN141" s="391">
        <f t="shared" si="59"/>
        <v>0</v>
      </c>
      <c r="AO141" s="403">
        <f t="shared" si="60"/>
        <v>0</v>
      </c>
      <c r="AP141" s="405"/>
      <c r="AQ141" s="390" t="e">
        <f t="shared" si="61"/>
        <v>#N/A</v>
      </c>
      <c r="AR141" s="408">
        <f t="shared" si="62"/>
        <v>0</v>
      </c>
      <c r="AS141" s="409" t="str">
        <f t="shared" si="70"/>
        <v/>
      </c>
      <c r="AT141" s="416"/>
    </row>
    <row r="142" spans="1:46" ht="15" x14ac:dyDescent="0.25">
      <c r="A142" s="592">
        <v>139</v>
      </c>
      <c r="B142" s="604"/>
      <c r="C142" s="302"/>
      <c r="D142" s="304"/>
      <c r="E142" s="306"/>
      <c r="F142" s="698"/>
      <c r="G142" s="304"/>
      <c r="H142" s="304"/>
      <c r="I142" s="304"/>
      <c r="J142" s="304"/>
      <c r="K142" s="307"/>
      <c r="L142" s="590" t="str">
        <f t="shared" si="69"/>
        <v/>
      </c>
      <c r="M142" s="416"/>
      <c r="N142" s="405"/>
      <c r="O142" s="468" t="str">
        <f t="shared" si="63"/>
        <v xml:space="preserve"> </v>
      </c>
      <c r="P142" s="468" t="str">
        <f t="shared" si="64"/>
        <v xml:space="preserve"> </v>
      </c>
      <c r="Q142" s="468" t="str">
        <f t="shared" si="65"/>
        <v xml:space="preserve"> </v>
      </c>
      <c r="R142" s="468" t="str">
        <f t="shared" si="66"/>
        <v xml:space="preserve"> </v>
      </c>
      <c r="S142" s="468" t="str">
        <f t="shared" si="67"/>
        <v xml:space="preserve"> </v>
      </c>
      <c r="T142" s="468" t="str">
        <f t="shared" si="68"/>
        <v xml:space="preserve"> </v>
      </c>
      <c r="U142" s="405"/>
      <c r="V142" s="405"/>
      <c r="W142" s="405"/>
      <c r="X142" s="405"/>
      <c r="Y142" s="405"/>
      <c r="Z142" s="405"/>
      <c r="AA142" s="405"/>
      <c r="AB142" s="405"/>
      <c r="AC142" s="389" t="e">
        <f t="shared" si="48"/>
        <v>#N/A</v>
      </c>
      <c r="AD142" s="390">
        <f t="shared" si="49"/>
        <v>0</v>
      </c>
      <c r="AE142" s="390">
        <f t="shared" si="50"/>
        <v>0</v>
      </c>
      <c r="AF142" s="391">
        <f t="shared" si="51"/>
        <v>0</v>
      </c>
      <c r="AG142" s="392">
        <f t="shared" si="52"/>
        <v>0</v>
      </c>
      <c r="AH142" s="392">
        <f t="shared" si="53"/>
        <v>0</v>
      </c>
      <c r="AI142" s="392">
        <f t="shared" si="54"/>
        <v>0</v>
      </c>
      <c r="AJ142" s="393">
        <f t="shared" si="55"/>
        <v>0</v>
      </c>
      <c r="AK142" s="391">
        <f t="shared" si="56"/>
        <v>0</v>
      </c>
      <c r="AL142" s="391">
        <f t="shared" si="57"/>
        <v>0</v>
      </c>
      <c r="AM142" s="391">
        <f t="shared" si="58"/>
        <v>0</v>
      </c>
      <c r="AN142" s="391">
        <f t="shared" si="59"/>
        <v>0</v>
      </c>
      <c r="AO142" s="403">
        <f t="shared" si="60"/>
        <v>0</v>
      </c>
      <c r="AP142" s="405"/>
      <c r="AQ142" s="390" t="e">
        <f t="shared" si="61"/>
        <v>#N/A</v>
      </c>
      <c r="AR142" s="408">
        <f t="shared" si="62"/>
        <v>0</v>
      </c>
      <c r="AS142" s="409" t="str">
        <f t="shared" si="70"/>
        <v/>
      </c>
      <c r="AT142" s="416"/>
    </row>
    <row r="143" spans="1:46" ht="15" x14ac:dyDescent="0.25">
      <c r="A143" s="592">
        <v>140</v>
      </c>
      <c r="B143" s="604"/>
      <c r="C143" s="302"/>
      <c r="D143" s="304"/>
      <c r="E143" s="306"/>
      <c r="F143" s="698"/>
      <c r="G143" s="304"/>
      <c r="H143" s="304"/>
      <c r="I143" s="304"/>
      <c r="J143" s="304"/>
      <c r="K143" s="307"/>
      <c r="L143" s="590" t="str">
        <f t="shared" si="69"/>
        <v/>
      </c>
      <c r="M143" s="416"/>
      <c r="N143" s="405"/>
      <c r="O143" s="468" t="str">
        <f t="shared" si="63"/>
        <v xml:space="preserve"> </v>
      </c>
      <c r="P143" s="468" t="str">
        <f t="shared" si="64"/>
        <v xml:space="preserve"> </v>
      </c>
      <c r="Q143" s="468" t="str">
        <f t="shared" si="65"/>
        <v xml:space="preserve"> </v>
      </c>
      <c r="R143" s="468" t="str">
        <f t="shared" si="66"/>
        <v xml:space="preserve"> </v>
      </c>
      <c r="S143" s="468" t="str">
        <f t="shared" si="67"/>
        <v xml:space="preserve"> </v>
      </c>
      <c r="T143" s="468" t="str">
        <f t="shared" si="68"/>
        <v xml:space="preserve"> </v>
      </c>
      <c r="U143" s="405"/>
      <c r="V143" s="405"/>
      <c r="W143" s="405"/>
      <c r="X143" s="405"/>
      <c r="Y143" s="405"/>
      <c r="Z143" s="405"/>
      <c r="AA143" s="405"/>
      <c r="AB143" s="405"/>
      <c r="AC143" s="389" t="e">
        <f t="shared" si="48"/>
        <v>#N/A</v>
      </c>
      <c r="AD143" s="390">
        <f t="shared" si="49"/>
        <v>0</v>
      </c>
      <c r="AE143" s="390">
        <f t="shared" si="50"/>
        <v>0</v>
      </c>
      <c r="AF143" s="391">
        <f t="shared" si="51"/>
        <v>0</v>
      </c>
      <c r="AG143" s="392">
        <f t="shared" si="52"/>
        <v>0</v>
      </c>
      <c r="AH143" s="392">
        <f t="shared" si="53"/>
        <v>0</v>
      </c>
      <c r="AI143" s="392">
        <f t="shared" si="54"/>
        <v>0</v>
      </c>
      <c r="AJ143" s="393">
        <f t="shared" si="55"/>
        <v>0</v>
      </c>
      <c r="AK143" s="391">
        <f t="shared" si="56"/>
        <v>0</v>
      </c>
      <c r="AL143" s="391">
        <f t="shared" si="57"/>
        <v>0</v>
      </c>
      <c r="AM143" s="391">
        <f t="shared" si="58"/>
        <v>0</v>
      </c>
      <c r="AN143" s="391">
        <f t="shared" si="59"/>
        <v>0</v>
      </c>
      <c r="AO143" s="403">
        <f t="shared" si="60"/>
        <v>0</v>
      </c>
      <c r="AP143" s="405"/>
      <c r="AQ143" s="390" t="e">
        <f t="shared" si="61"/>
        <v>#N/A</v>
      </c>
      <c r="AR143" s="408">
        <f t="shared" si="62"/>
        <v>0</v>
      </c>
      <c r="AS143" s="409" t="str">
        <f t="shared" si="70"/>
        <v/>
      </c>
      <c r="AT143" s="416"/>
    </row>
    <row r="144" spans="1:46" ht="15" x14ac:dyDescent="0.25">
      <c r="A144" s="592">
        <v>141</v>
      </c>
      <c r="B144" s="604"/>
      <c r="C144" s="302"/>
      <c r="D144" s="304"/>
      <c r="E144" s="306"/>
      <c r="F144" s="698"/>
      <c r="G144" s="304"/>
      <c r="H144" s="304"/>
      <c r="I144" s="304"/>
      <c r="J144" s="304"/>
      <c r="K144" s="307"/>
      <c r="L144" s="590" t="str">
        <f t="shared" si="69"/>
        <v/>
      </c>
      <c r="M144" s="416"/>
      <c r="N144" s="405"/>
      <c r="O144" s="468" t="str">
        <f t="shared" si="63"/>
        <v xml:space="preserve"> </v>
      </c>
      <c r="P144" s="468" t="str">
        <f t="shared" si="64"/>
        <v xml:space="preserve"> </v>
      </c>
      <c r="Q144" s="468" t="str">
        <f t="shared" si="65"/>
        <v xml:space="preserve"> </v>
      </c>
      <c r="R144" s="468" t="str">
        <f t="shared" si="66"/>
        <v xml:space="preserve"> </v>
      </c>
      <c r="S144" s="468" t="str">
        <f t="shared" si="67"/>
        <v xml:space="preserve"> </v>
      </c>
      <c r="T144" s="468" t="str">
        <f t="shared" si="68"/>
        <v xml:space="preserve"> </v>
      </c>
      <c r="U144" s="405"/>
      <c r="V144" s="405"/>
      <c r="W144" s="405"/>
      <c r="X144" s="405"/>
      <c r="Y144" s="405"/>
      <c r="Z144" s="405"/>
      <c r="AA144" s="405"/>
      <c r="AB144" s="405"/>
      <c r="AC144" s="389" t="e">
        <f t="shared" si="48"/>
        <v>#N/A</v>
      </c>
      <c r="AD144" s="390">
        <f t="shared" si="49"/>
        <v>0</v>
      </c>
      <c r="AE144" s="390">
        <f t="shared" si="50"/>
        <v>0</v>
      </c>
      <c r="AF144" s="391">
        <f t="shared" si="51"/>
        <v>0</v>
      </c>
      <c r="AG144" s="392">
        <f t="shared" si="52"/>
        <v>0</v>
      </c>
      <c r="AH144" s="392">
        <f t="shared" si="53"/>
        <v>0</v>
      </c>
      <c r="AI144" s="392">
        <f t="shared" si="54"/>
        <v>0</v>
      </c>
      <c r="AJ144" s="393">
        <f t="shared" si="55"/>
        <v>0</v>
      </c>
      <c r="AK144" s="391">
        <f t="shared" si="56"/>
        <v>0</v>
      </c>
      <c r="AL144" s="391">
        <f t="shared" si="57"/>
        <v>0</v>
      </c>
      <c r="AM144" s="391">
        <f t="shared" si="58"/>
        <v>0</v>
      </c>
      <c r="AN144" s="391">
        <f t="shared" si="59"/>
        <v>0</v>
      </c>
      <c r="AO144" s="403">
        <f t="shared" si="60"/>
        <v>0</v>
      </c>
      <c r="AP144" s="405"/>
      <c r="AQ144" s="390" t="e">
        <f t="shared" si="61"/>
        <v>#N/A</v>
      </c>
      <c r="AR144" s="408">
        <f t="shared" si="62"/>
        <v>0</v>
      </c>
      <c r="AS144" s="409" t="str">
        <f t="shared" si="70"/>
        <v/>
      </c>
      <c r="AT144" s="416"/>
    </row>
    <row r="145" spans="1:46" ht="15" x14ac:dyDescent="0.25">
      <c r="A145" s="592">
        <v>142</v>
      </c>
      <c r="B145" s="604"/>
      <c r="C145" s="302"/>
      <c r="D145" s="304"/>
      <c r="E145" s="306"/>
      <c r="F145" s="698"/>
      <c r="G145" s="304"/>
      <c r="H145" s="304"/>
      <c r="I145" s="304"/>
      <c r="J145" s="304"/>
      <c r="K145" s="307"/>
      <c r="L145" s="590" t="str">
        <f t="shared" si="69"/>
        <v/>
      </c>
      <c r="M145" s="416"/>
      <c r="N145" s="405"/>
      <c r="O145" s="468" t="str">
        <f t="shared" si="63"/>
        <v xml:space="preserve"> </v>
      </c>
      <c r="P145" s="468" t="str">
        <f t="shared" si="64"/>
        <v xml:space="preserve"> </v>
      </c>
      <c r="Q145" s="468" t="str">
        <f t="shared" si="65"/>
        <v xml:space="preserve"> </v>
      </c>
      <c r="R145" s="468" t="str">
        <f t="shared" si="66"/>
        <v xml:space="preserve"> </v>
      </c>
      <c r="S145" s="468" t="str">
        <f t="shared" si="67"/>
        <v xml:space="preserve"> </v>
      </c>
      <c r="T145" s="468" t="str">
        <f t="shared" si="68"/>
        <v xml:space="preserve"> </v>
      </c>
      <c r="U145" s="405"/>
      <c r="V145" s="405"/>
      <c r="W145" s="405"/>
      <c r="X145" s="405"/>
      <c r="Y145" s="405"/>
      <c r="Z145" s="405"/>
      <c r="AA145" s="405"/>
      <c r="AB145" s="405"/>
      <c r="AC145" s="389" t="e">
        <f t="shared" ref="AC145:AC208" si="71">VLOOKUP($F145,$O$5:$P$10,2,0)</f>
        <v>#N/A</v>
      </c>
      <c r="AD145" s="390">
        <f t="shared" ref="AD145:AD208" si="72">IF(G145="Yes w/ Elec.Stove", VLOOKUP(AC145, $P$5:$Q$103, 2, FALSE), 0)</f>
        <v>0</v>
      </c>
      <c r="AE145" s="390">
        <f t="shared" ref="AE145:AE208" si="73">IF(G145="Yes, No Elec. Stove", VLOOKUP(AC145, $P$5:$R$103, 3, FALSE),0)</f>
        <v>0</v>
      </c>
      <c r="AF145" s="391">
        <f t="shared" ref="AF145:AF208" si="74">IF(H145="Yes ", VLOOKUP(AC145, $P$5:$S$103, 4, FALSE),0)</f>
        <v>0</v>
      </c>
      <c r="AG145" s="392">
        <f t="shared" ref="AG145:AG208" si="75">IF(I145="Oil", VLOOKUP(AC145, $P$5:$T$103, 5, FALSE), 0)</f>
        <v>0</v>
      </c>
      <c r="AH145" s="392">
        <f t="shared" ref="AH145:AH208" si="76">IF(I145="Gas", VLOOKUP(AC145, $P$5:$U$104, 6, FALSE), 0)</f>
        <v>0</v>
      </c>
      <c r="AI145" s="392">
        <f t="shared" ref="AI145:AI208" si="77">IF(I145="Electric - Other", VLOOKUP(AC145, $P$5:$V$104, 7, FALSE),0)</f>
        <v>0</v>
      </c>
      <c r="AJ145" s="393">
        <f t="shared" ref="AJ145:AJ208" si="78">IF(I145="Electric - Heat Pump", VLOOKUP(AC145, $P$5:$W$104, 8, FALSE),0)</f>
        <v>0</v>
      </c>
      <c r="AK145" s="391">
        <f t="shared" ref="AK145:AK208" si="79">IF(J145="Electric ccASHP - split", VLOOKUP(AC145, $P$5:$X$104, 9, FALSE),0)</f>
        <v>0</v>
      </c>
      <c r="AL145" s="391">
        <f t="shared" ref="AL145:AL208" si="80">IF(J145="Electric - Other", VLOOKUP(AC145, $P$5:$Y$104, 10, FALSE),0)</f>
        <v>0</v>
      </c>
      <c r="AM145" s="391">
        <f t="shared" ref="AM145:AM208" si="81">IF(J145="Oil ", VLOOKUP(AC145, $P$5:$Z$104, 11, FALSE),0)</f>
        <v>0</v>
      </c>
      <c r="AN145" s="391">
        <f t="shared" ref="AN145:AN208" si="82">IF(J145="Gas ",VLOOKUP(AC145,$P$5:$AA$104,12,FALSE),0)</f>
        <v>0</v>
      </c>
      <c r="AO145" s="403">
        <f t="shared" ref="AO145:AO208" si="83">K145</f>
        <v>0</v>
      </c>
      <c r="AP145" s="405"/>
      <c r="AQ145" s="390" t="e">
        <f t="shared" ref="AQ145:AQ208" si="84">AC145-AD145-AE145-AF145-AG145-AH145-AI145-AJ145-AK145-AL145-AM145-AN145-AO145</f>
        <v>#N/A</v>
      </c>
      <c r="AR145" s="408">
        <f t="shared" ref="AR145:AR208" si="85">E145</f>
        <v>0</v>
      </c>
      <c r="AS145" s="409" t="str">
        <f t="shared" si="70"/>
        <v/>
      </c>
      <c r="AT145" s="416"/>
    </row>
    <row r="146" spans="1:46" ht="15" x14ac:dyDescent="0.25">
      <c r="A146" s="592">
        <v>143</v>
      </c>
      <c r="B146" s="604"/>
      <c r="C146" s="302"/>
      <c r="D146" s="304"/>
      <c r="E146" s="306"/>
      <c r="F146" s="698"/>
      <c r="G146" s="304"/>
      <c r="H146" s="304"/>
      <c r="I146" s="304"/>
      <c r="J146" s="304"/>
      <c r="K146" s="307"/>
      <c r="L146" s="590" t="str">
        <f t="shared" si="69"/>
        <v/>
      </c>
      <c r="M146" s="416"/>
      <c r="N146" s="405"/>
      <c r="O146" s="468" t="str">
        <f t="shared" si="63"/>
        <v xml:space="preserve"> </v>
      </c>
      <c r="P146" s="468" t="str">
        <f t="shared" si="64"/>
        <v xml:space="preserve"> </v>
      </c>
      <c r="Q146" s="468" t="str">
        <f t="shared" si="65"/>
        <v xml:space="preserve"> </v>
      </c>
      <c r="R146" s="468" t="str">
        <f t="shared" si="66"/>
        <v xml:space="preserve"> </v>
      </c>
      <c r="S146" s="468" t="str">
        <f t="shared" si="67"/>
        <v xml:space="preserve"> </v>
      </c>
      <c r="T146" s="468" t="str">
        <f t="shared" si="68"/>
        <v xml:space="preserve"> </v>
      </c>
      <c r="U146" s="405"/>
      <c r="V146" s="405"/>
      <c r="W146" s="405"/>
      <c r="X146" s="405"/>
      <c r="Y146" s="405"/>
      <c r="Z146" s="405"/>
      <c r="AA146" s="405"/>
      <c r="AB146" s="405"/>
      <c r="AC146" s="389" t="e">
        <f t="shared" si="71"/>
        <v>#N/A</v>
      </c>
      <c r="AD146" s="390">
        <f t="shared" si="72"/>
        <v>0</v>
      </c>
      <c r="AE146" s="390">
        <f t="shared" si="73"/>
        <v>0</v>
      </c>
      <c r="AF146" s="391">
        <f t="shared" si="74"/>
        <v>0</v>
      </c>
      <c r="AG146" s="392">
        <f t="shared" si="75"/>
        <v>0</v>
      </c>
      <c r="AH146" s="392">
        <f t="shared" si="76"/>
        <v>0</v>
      </c>
      <c r="AI146" s="392">
        <f t="shared" si="77"/>
        <v>0</v>
      </c>
      <c r="AJ146" s="393">
        <f t="shared" si="78"/>
        <v>0</v>
      </c>
      <c r="AK146" s="391">
        <f t="shared" si="79"/>
        <v>0</v>
      </c>
      <c r="AL146" s="391">
        <f t="shared" si="80"/>
        <v>0</v>
      </c>
      <c r="AM146" s="391">
        <f t="shared" si="81"/>
        <v>0</v>
      </c>
      <c r="AN146" s="391">
        <f t="shared" si="82"/>
        <v>0</v>
      </c>
      <c r="AO146" s="403">
        <f t="shared" si="83"/>
        <v>0</v>
      </c>
      <c r="AP146" s="405"/>
      <c r="AQ146" s="390" t="e">
        <f t="shared" si="84"/>
        <v>#N/A</v>
      </c>
      <c r="AR146" s="408">
        <f t="shared" si="85"/>
        <v>0</v>
      </c>
      <c r="AS146" s="409" t="str">
        <f t="shared" si="70"/>
        <v/>
      </c>
      <c r="AT146" s="416"/>
    </row>
    <row r="147" spans="1:46" ht="15" x14ac:dyDescent="0.25">
      <c r="A147" s="592">
        <v>144</v>
      </c>
      <c r="B147" s="604"/>
      <c r="C147" s="302"/>
      <c r="D147" s="304"/>
      <c r="E147" s="306"/>
      <c r="F147" s="698"/>
      <c r="G147" s="304"/>
      <c r="H147" s="304"/>
      <c r="I147" s="304"/>
      <c r="J147" s="304"/>
      <c r="K147" s="307"/>
      <c r="L147" s="590" t="str">
        <f t="shared" si="69"/>
        <v/>
      </c>
      <c r="M147" s="416"/>
      <c r="N147" s="405"/>
      <c r="O147" s="468" t="str">
        <f t="shared" si="63"/>
        <v xml:space="preserve"> </v>
      </c>
      <c r="P147" s="468" t="str">
        <f t="shared" si="64"/>
        <v xml:space="preserve"> </v>
      </c>
      <c r="Q147" s="468" t="str">
        <f t="shared" si="65"/>
        <v xml:space="preserve"> </v>
      </c>
      <c r="R147" s="468" t="str">
        <f t="shared" si="66"/>
        <v xml:space="preserve"> </v>
      </c>
      <c r="S147" s="468" t="str">
        <f t="shared" si="67"/>
        <v xml:space="preserve"> </v>
      </c>
      <c r="T147" s="468" t="str">
        <f t="shared" si="68"/>
        <v xml:space="preserve"> </v>
      </c>
      <c r="U147" s="405"/>
      <c r="V147" s="405"/>
      <c r="W147" s="405"/>
      <c r="X147" s="405"/>
      <c r="Y147" s="405"/>
      <c r="Z147" s="405"/>
      <c r="AA147" s="405"/>
      <c r="AB147" s="405"/>
      <c r="AC147" s="389" t="e">
        <f t="shared" si="71"/>
        <v>#N/A</v>
      </c>
      <c r="AD147" s="390">
        <f t="shared" si="72"/>
        <v>0</v>
      </c>
      <c r="AE147" s="390">
        <f t="shared" si="73"/>
        <v>0</v>
      </c>
      <c r="AF147" s="391">
        <f t="shared" si="74"/>
        <v>0</v>
      </c>
      <c r="AG147" s="392">
        <f t="shared" si="75"/>
        <v>0</v>
      </c>
      <c r="AH147" s="392">
        <f t="shared" si="76"/>
        <v>0</v>
      </c>
      <c r="AI147" s="392">
        <f t="shared" si="77"/>
        <v>0</v>
      </c>
      <c r="AJ147" s="393">
        <f t="shared" si="78"/>
        <v>0</v>
      </c>
      <c r="AK147" s="391">
        <f t="shared" si="79"/>
        <v>0</v>
      </c>
      <c r="AL147" s="391">
        <f t="shared" si="80"/>
        <v>0</v>
      </c>
      <c r="AM147" s="391">
        <f t="shared" si="81"/>
        <v>0</v>
      </c>
      <c r="AN147" s="391">
        <f t="shared" si="82"/>
        <v>0</v>
      </c>
      <c r="AO147" s="403">
        <f t="shared" si="83"/>
        <v>0</v>
      </c>
      <c r="AP147" s="405"/>
      <c r="AQ147" s="390" t="e">
        <f t="shared" si="84"/>
        <v>#N/A</v>
      </c>
      <c r="AR147" s="408">
        <f t="shared" si="85"/>
        <v>0</v>
      </c>
      <c r="AS147" s="409" t="str">
        <f t="shared" si="70"/>
        <v/>
      </c>
      <c r="AT147" s="416"/>
    </row>
    <row r="148" spans="1:46" ht="15" x14ac:dyDescent="0.25">
      <c r="A148" s="592">
        <v>145</v>
      </c>
      <c r="B148" s="604"/>
      <c r="C148" s="302"/>
      <c r="D148" s="304"/>
      <c r="E148" s="306"/>
      <c r="F148" s="698"/>
      <c r="G148" s="304"/>
      <c r="H148" s="304"/>
      <c r="I148" s="304"/>
      <c r="J148" s="304"/>
      <c r="K148" s="307"/>
      <c r="L148" s="590" t="str">
        <f t="shared" si="69"/>
        <v/>
      </c>
      <c r="M148" s="416"/>
      <c r="N148" s="405"/>
      <c r="O148" s="468" t="str">
        <f t="shared" si="63"/>
        <v xml:space="preserve"> </v>
      </c>
      <c r="P148" s="468" t="str">
        <f t="shared" si="64"/>
        <v xml:space="preserve"> </v>
      </c>
      <c r="Q148" s="468" t="str">
        <f t="shared" si="65"/>
        <v xml:space="preserve"> </v>
      </c>
      <c r="R148" s="468" t="str">
        <f t="shared" si="66"/>
        <v xml:space="preserve"> </v>
      </c>
      <c r="S148" s="468" t="str">
        <f t="shared" si="67"/>
        <v xml:space="preserve"> </v>
      </c>
      <c r="T148" s="468" t="str">
        <f t="shared" si="68"/>
        <v xml:space="preserve"> </v>
      </c>
      <c r="U148" s="405"/>
      <c r="V148" s="405"/>
      <c r="W148" s="405"/>
      <c r="X148" s="405"/>
      <c r="Y148" s="405"/>
      <c r="Z148" s="405"/>
      <c r="AA148" s="405"/>
      <c r="AB148" s="405"/>
      <c r="AC148" s="389" t="e">
        <f t="shared" si="71"/>
        <v>#N/A</v>
      </c>
      <c r="AD148" s="390">
        <f t="shared" si="72"/>
        <v>0</v>
      </c>
      <c r="AE148" s="390">
        <f t="shared" si="73"/>
        <v>0</v>
      </c>
      <c r="AF148" s="391">
        <f t="shared" si="74"/>
        <v>0</v>
      </c>
      <c r="AG148" s="392">
        <f t="shared" si="75"/>
        <v>0</v>
      </c>
      <c r="AH148" s="392">
        <f t="shared" si="76"/>
        <v>0</v>
      </c>
      <c r="AI148" s="392">
        <f t="shared" si="77"/>
        <v>0</v>
      </c>
      <c r="AJ148" s="393">
        <f t="shared" si="78"/>
        <v>0</v>
      </c>
      <c r="AK148" s="391">
        <f t="shared" si="79"/>
        <v>0</v>
      </c>
      <c r="AL148" s="391">
        <f t="shared" si="80"/>
        <v>0</v>
      </c>
      <c r="AM148" s="391">
        <f t="shared" si="81"/>
        <v>0</v>
      </c>
      <c r="AN148" s="391">
        <f t="shared" si="82"/>
        <v>0</v>
      </c>
      <c r="AO148" s="403">
        <f t="shared" si="83"/>
        <v>0</v>
      </c>
      <c r="AP148" s="405"/>
      <c r="AQ148" s="390" t="e">
        <f t="shared" si="84"/>
        <v>#N/A</v>
      </c>
      <c r="AR148" s="408">
        <f t="shared" si="85"/>
        <v>0</v>
      </c>
      <c r="AS148" s="409" t="str">
        <f t="shared" si="70"/>
        <v/>
      </c>
      <c r="AT148" s="416"/>
    </row>
    <row r="149" spans="1:46" ht="15" x14ac:dyDescent="0.25">
      <c r="A149" s="592">
        <v>146</v>
      </c>
      <c r="B149" s="604"/>
      <c r="C149" s="302"/>
      <c r="D149" s="304"/>
      <c r="E149" s="306"/>
      <c r="F149" s="698"/>
      <c r="G149" s="304"/>
      <c r="H149" s="304"/>
      <c r="I149" s="304"/>
      <c r="J149" s="304"/>
      <c r="K149" s="307"/>
      <c r="L149" s="590" t="str">
        <f t="shared" si="69"/>
        <v/>
      </c>
      <c r="M149" s="416"/>
      <c r="N149" s="405"/>
      <c r="O149" s="468" t="str">
        <f t="shared" si="63"/>
        <v xml:space="preserve"> </v>
      </c>
      <c r="P149" s="468" t="str">
        <f t="shared" si="64"/>
        <v xml:space="preserve"> </v>
      </c>
      <c r="Q149" s="468" t="str">
        <f t="shared" si="65"/>
        <v xml:space="preserve"> </v>
      </c>
      <c r="R149" s="468" t="str">
        <f t="shared" si="66"/>
        <v xml:space="preserve"> </v>
      </c>
      <c r="S149" s="468" t="str">
        <f t="shared" si="67"/>
        <v xml:space="preserve"> </v>
      </c>
      <c r="T149" s="468" t="str">
        <f t="shared" si="68"/>
        <v xml:space="preserve"> </v>
      </c>
      <c r="U149" s="405"/>
      <c r="V149" s="405"/>
      <c r="W149" s="405"/>
      <c r="X149" s="405"/>
      <c r="Y149" s="405"/>
      <c r="Z149" s="405"/>
      <c r="AA149" s="405"/>
      <c r="AB149" s="405"/>
      <c r="AC149" s="389" t="e">
        <f t="shared" si="71"/>
        <v>#N/A</v>
      </c>
      <c r="AD149" s="390">
        <f t="shared" si="72"/>
        <v>0</v>
      </c>
      <c r="AE149" s="390">
        <f t="shared" si="73"/>
        <v>0</v>
      </c>
      <c r="AF149" s="391">
        <f t="shared" si="74"/>
        <v>0</v>
      </c>
      <c r="AG149" s="392">
        <f t="shared" si="75"/>
        <v>0</v>
      </c>
      <c r="AH149" s="392">
        <f t="shared" si="76"/>
        <v>0</v>
      </c>
      <c r="AI149" s="392">
        <f t="shared" si="77"/>
        <v>0</v>
      </c>
      <c r="AJ149" s="393">
        <f t="shared" si="78"/>
        <v>0</v>
      </c>
      <c r="AK149" s="391">
        <f t="shared" si="79"/>
        <v>0</v>
      </c>
      <c r="AL149" s="391">
        <f t="shared" si="80"/>
        <v>0</v>
      </c>
      <c r="AM149" s="391">
        <f t="shared" si="81"/>
        <v>0</v>
      </c>
      <c r="AN149" s="391">
        <f t="shared" si="82"/>
        <v>0</v>
      </c>
      <c r="AO149" s="403">
        <f t="shared" si="83"/>
        <v>0</v>
      </c>
      <c r="AP149" s="405"/>
      <c r="AQ149" s="390" t="e">
        <f t="shared" si="84"/>
        <v>#N/A</v>
      </c>
      <c r="AR149" s="408">
        <f t="shared" si="85"/>
        <v>0</v>
      </c>
      <c r="AS149" s="409" t="str">
        <f t="shared" si="70"/>
        <v/>
      </c>
      <c r="AT149" s="416"/>
    </row>
    <row r="150" spans="1:46" ht="15" x14ac:dyDescent="0.25">
      <c r="A150" s="592">
        <v>147</v>
      </c>
      <c r="B150" s="604"/>
      <c r="C150" s="302"/>
      <c r="D150" s="304"/>
      <c r="E150" s="306"/>
      <c r="F150" s="698"/>
      <c r="G150" s="304"/>
      <c r="H150" s="304"/>
      <c r="I150" s="304"/>
      <c r="J150" s="304"/>
      <c r="K150" s="307"/>
      <c r="L150" s="590" t="str">
        <f t="shared" si="69"/>
        <v/>
      </c>
      <c r="M150" s="416"/>
      <c r="N150" s="405"/>
      <c r="O150" s="468" t="str">
        <f t="shared" si="63"/>
        <v xml:space="preserve"> </v>
      </c>
      <c r="P150" s="468" t="str">
        <f t="shared" si="64"/>
        <v xml:space="preserve"> </v>
      </c>
      <c r="Q150" s="468" t="str">
        <f t="shared" si="65"/>
        <v xml:space="preserve"> </v>
      </c>
      <c r="R150" s="468" t="str">
        <f t="shared" si="66"/>
        <v xml:space="preserve"> </v>
      </c>
      <c r="S150" s="468" t="str">
        <f t="shared" si="67"/>
        <v xml:space="preserve"> </v>
      </c>
      <c r="T150" s="468" t="str">
        <f t="shared" si="68"/>
        <v xml:space="preserve"> </v>
      </c>
      <c r="U150" s="405"/>
      <c r="V150" s="405"/>
      <c r="W150" s="405"/>
      <c r="X150" s="405"/>
      <c r="Y150" s="405"/>
      <c r="Z150" s="405"/>
      <c r="AA150" s="405"/>
      <c r="AB150" s="405"/>
      <c r="AC150" s="389" t="e">
        <f t="shared" si="71"/>
        <v>#N/A</v>
      </c>
      <c r="AD150" s="390">
        <f t="shared" si="72"/>
        <v>0</v>
      </c>
      <c r="AE150" s="390">
        <f t="shared" si="73"/>
        <v>0</v>
      </c>
      <c r="AF150" s="391">
        <f t="shared" si="74"/>
        <v>0</v>
      </c>
      <c r="AG150" s="392">
        <f t="shared" si="75"/>
        <v>0</v>
      </c>
      <c r="AH150" s="392">
        <f t="shared" si="76"/>
        <v>0</v>
      </c>
      <c r="AI150" s="392">
        <f t="shared" si="77"/>
        <v>0</v>
      </c>
      <c r="AJ150" s="393">
        <f t="shared" si="78"/>
        <v>0</v>
      </c>
      <c r="AK150" s="391">
        <f t="shared" si="79"/>
        <v>0</v>
      </c>
      <c r="AL150" s="391">
        <f t="shared" si="80"/>
        <v>0</v>
      </c>
      <c r="AM150" s="391">
        <f t="shared" si="81"/>
        <v>0</v>
      </c>
      <c r="AN150" s="391">
        <f t="shared" si="82"/>
        <v>0</v>
      </c>
      <c r="AO150" s="403">
        <f t="shared" si="83"/>
        <v>0</v>
      </c>
      <c r="AP150" s="405"/>
      <c r="AQ150" s="390" t="e">
        <f t="shared" si="84"/>
        <v>#N/A</v>
      </c>
      <c r="AR150" s="408">
        <f t="shared" si="85"/>
        <v>0</v>
      </c>
      <c r="AS150" s="409" t="str">
        <f t="shared" si="70"/>
        <v/>
      </c>
      <c r="AT150" s="416"/>
    </row>
    <row r="151" spans="1:46" ht="15" x14ac:dyDescent="0.25">
      <c r="A151" s="592">
        <v>148</v>
      </c>
      <c r="B151" s="604"/>
      <c r="C151" s="302"/>
      <c r="D151" s="304"/>
      <c r="E151" s="306"/>
      <c r="F151" s="698"/>
      <c r="G151" s="304"/>
      <c r="H151" s="304"/>
      <c r="I151" s="304"/>
      <c r="J151" s="304"/>
      <c r="K151" s="307"/>
      <c r="L151" s="590" t="str">
        <f t="shared" si="69"/>
        <v/>
      </c>
      <c r="M151" s="416"/>
      <c r="N151" s="405"/>
      <c r="O151" s="468" t="str">
        <f t="shared" si="63"/>
        <v xml:space="preserve"> </v>
      </c>
      <c r="P151" s="468" t="str">
        <f t="shared" si="64"/>
        <v xml:space="preserve"> </v>
      </c>
      <c r="Q151" s="468" t="str">
        <f t="shared" si="65"/>
        <v xml:space="preserve"> </v>
      </c>
      <c r="R151" s="468" t="str">
        <f t="shared" si="66"/>
        <v xml:space="preserve"> </v>
      </c>
      <c r="S151" s="468" t="str">
        <f t="shared" si="67"/>
        <v xml:space="preserve"> </v>
      </c>
      <c r="T151" s="468" t="str">
        <f t="shared" si="68"/>
        <v xml:space="preserve"> </v>
      </c>
      <c r="U151" s="405"/>
      <c r="V151" s="405"/>
      <c r="W151" s="405"/>
      <c r="X151" s="405"/>
      <c r="Y151" s="405"/>
      <c r="Z151" s="405"/>
      <c r="AA151" s="405"/>
      <c r="AB151" s="405"/>
      <c r="AC151" s="389" t="e">
        <f t="shared" si="71"/>
        <v>#N/A</v>
      </c>
      <c r="AD151" s="390">
        <f t="shared" si="72"/>
        <v>0</v>
      </c>
      <c r="AE151" s="390">
        <f t="shared" si="73"/>
        <v>0</v>
      </c>
      <c r="AF151" s="391">
        <f t="shared" si="74"/>
        <v>0</v>
      </c>
      <c r="AG151" s="392">
        <f t="shared" si="75"/>
        <v>0</v>
      </c>
      <c r="AH151" s="392">
        <f t="shared" si="76"/>
        <v>0</v>
      </c>
      <c r="AI151" s="392">
        <f t="shared" si="77"/>
        <v>0</v>
      </c>
      <c r="AJ151" s="393">
        <f t="shared" si="78"/>
        <v>0</v>
      </c>
      <c r="AK151" s="391">
        <f t="shared" si="79"/>
        <v>0</v>
      </c>
      <c r="AL151" s="391">
        <f t="shared" si="80"/>
        <v>0</v>
      </c>
      <c r="AM151" s="391">
        <f t="shared" si="81"/>
        <v>0</v>
      </c>
      <c r="AN151" s="391">
        <f t="shared" si="82"/>
        <v>0</v>
      </c>
      <c r="AO151" s="403">
        <f t="shared" si="83"/>
        <v>0</v>
      </c>
      <c r="AP151" s="405"/>
      <c r="AQ151" s="390" t="e">
        <f t="shared" si="84"/>
        <v>#N/A</v>
      </c>
      <c r="AR151" s="408">
        <f t="shared" si="85"/>
        <v>0</v>
      </c>
      <c r="AS151" s="409" t="str">
        <f t="shared" si="70"/>
        <v/>
      </c>
      <c r="AT151" s="416"/>
    </row>
    <row r="152" spans="1:46" ht="15" x14ac:dyDescent="0.25">
      <c r="A152" s="592">
        <v>149</v>
      </c>
      <c r="B152" s="604"/>
      <c r="C152" s="302"/>
      <c r="D152" s="304"/>
      <c r="E152" s="306"/>
      <c r="F152" s="698"/>
      <c r="G152" s="304"/>
      <c r="H152" s="304"/>
      <c r="I152" s="304"/>
      <c r="J152" s="304"/>
      <c r="K152" s="307"/>
      <c r="L152" s="590" t="str">
        <f t="shared" si="69"/>
        <v/>
      </c>
      <c r="M152" s="416"/>
      <c r="N152" s="405"/>
      <c r="O152" s="468" t="str">
        <f t="shared" si="63"/>
        <v xml:space="preserve"> </v>
      </c>
      <c r="P152" s="468" t="str">
        <f t="shared" si="64"/>
        <v xml:space="preserve"> </v>
      </c>
      <c r="Q152" s="468" t="str">
        <f t="shared" si="65"/>
        <v xml:space="preserve"> </v>
      </c>
      <c r="R152" s="468" t="str">
        <f t="shared" si="66"/>
        <v xml:space="preserve"> </v>
      </c>
      <c r="S152" s="468" t="str">
        <f t="shared" si="67"/>
        <v xml:space="preserve"> </v>
      </c>
      <c r="T152" s="468" t="str">
        <f t="shared" si="68"/>
        <v xml:space="preserve"> </v>
      </c>
      <c r="U152" s="405"/>
      <c r="V152" s="405"/>
      <c r="W152" s="405"/>
      <c r="X152" s="405"/>
      <c r="Y152" s="405"/>
      <c r="Z152" s="405"/>
      <c r="AA152" s="405"/>
      <c r="AB152" s="405"/>
      <c r="AC152" s="389" t="e">
        <f t="shared" si="71"/>
        <v>#N/A</v>
      </c>
      <c r="AD152" s="390">
        <f t="shared" si="72"/>
        <v>0</v>
      </c>
      <c r="AE152" s="390">
        <f t="shared" si="73"/>
        <v>0</v>
      </c>
      <c r="AF152" s="391">
        <f t="shared" si="74"/>
        <v>0</v>
      </c>
      <c r="AG152" s="392">
        <f t="shared" si="75"/>
        <v>0</v>
      </c>
      <c r="AH152" s="392">
        <f t="shared" si="76"/>
        <v>0</v>
      </c>
      <c r="AI152" s="392">
        <f t="shared" si="77"/>
        <v>0</v>
      </c>
      <c r="AJ152" s="393">
        <f t="shared" si="78"/>
        <v>0</v>
      </c>
      <c r="AK152" s="391">
        <f t="shared" si="79"/>
        <v>0</v>
      </c>
      <c r="AL152" s="391">
        <f t="shared" si="80"/>
        <v>0</v>
      </c>
      <c r="AM152" s="391">
        <f t="shared" si="81"/>
        <v>0</v>
      </c>
      <c r="AN152" s="391">
        <f t="shared" si="82"/>
        <v>0</v>
      </c>
      <c r="AO152" s="403">
        <f t="shared" si="83"/>
        <v>0</v>
      </c>
      <c r="AP152" s="405"/>
      <c r="AQ152" s="390" t="e">
        <f t="shared" si="84"/>
        <v>#N/A</v>
      </c>
      <c r="AR152" s="408">
        <f t="shared" si="85"/>
        <v>0</v>
      </c>
      <c r="AS152" s="409" t="str">
        <f t="shared" si="70"/>
        <v/>
      </c>
      <c r="AT152" s="416"/>
    </row>
    <row r="153" spans="1:46" ht="15" x14ac:dyDescent="0.25">
      <c r="A153" s="592">
        <v>150</v>
      </c>
      <c r="B153" s="604"/>
      <c r="C153" s="302"/>
      <c r="D153" s="304"/>
      <c r="E153" s="306"/>
      <c r="F153" s="698"/>
      <c r="G153" s="304"/>
      <c r="H153" s="304"/>
      <c r="I153" s="304"/>
      <c r="J153" s="304"/>
      <c r="K153" s="307"/>
      <c r="L153" s="590" t="str">
        <f t="shared" si="69"/>
        <v/>
      </c>
      <c r="M153" s="416"/>
      <c r="N153" s="405"/>
      <c r="O153" s="468" t="str">
        <f t="shared" si="63"/>
        <v xml:space="preserve"> </v>
      </c>
      <c r="P153" s="468" t="str">
        <f t="shared" si="64"/>
        <v xml:space="preserve"> </v>
      </c>
      <c r="Q153" s="468" t="str">
        <f t="shared" si="65"/>
        <v xml:space="preserve"> </v>
      </c>
      <c r="R153" s="468" t="str">
        <f t="shared" si="66"/>
        <v xml:space="preserve"> </v>
      </c>
      <c r="S153" s="468" t="str">
        <f t="shared" si="67"/>
        <v xml:space="preserve"> </v>
      </c>
      <c r="T153" s="468" t="str">
        <f t="shared" si="68"/>
        <v xml:space="preserve"> </v>
      </c>
      <c r="U153" s="405"/>
      <c r="V153" s="405"/>
      <c r="W153" s="405"/>
      <c r="X153" s="405"/>
      <c r="Y153" s="405"/>
      <c r="Z153" s="405"/>
      <c r="AA153" s="405"/>
      <c r="AB153" s="405"/>
      <c r="AC153" s="389" t="e">
        <f t="shared" si="71"/>
        <v>#N/A</v>
      </c>
      <c r="AD153" s="390">
        <f t="shared" si="72"/>
        <v>0</v>
      </c>
      <c r="AE153" s="390">
        <f t="shared" si="73"/>
        <v>0</v>
      </c>
      <c r="AF153" s="391">
        <f t="shared" si="74"/>
        <v>0</v>
      </c>
      <c r="AG153" s="392">
        <f t="shared" si="75"/>
        <v>0</v>
      </c>
      <c r="AH153" s="392">
        <f t="shared" si="76"/>
        <v>0</v>
      </c>
      <c r="AI153" s="392">
        <f t="shared" si="77"/>
        <v>0</v>
      </c>
      <c r="AJ153" s="393">
        <f t="shared" si="78"/>
        <v>0</v>
      </c>
      <c r="AK153" s="391">
        <f t="shared" si="79"/>
        <v>0</v>
      </c>
      <c r="AL153" s="391">
        <f t="shared" si="80"/>
        <v>0</v>
      </c>
      <c r="AM153" s="391">
        <f t="shared" si="81"/>
        <v>0</v>
      </c>
      <c r="AN153" s="391">
        <f t="shared" si="82"/>
        <v>0</v>
      </c>
      <c r="AO153" s="403">
        <f t="shared" si="83"/>
        <v>0</v>
      </c>
      <c r="AP153" s="405"/>
      <c r="AQ153" s="390" t="e">
        <f t="shared" si="84"/>
        <v>#N/A</v>
      </c>
      <c r="AR153" s="408">
        <f t="shared" si="85"/>
        <v>0</v>
      </c>
      <c r="AS153" s="409" t="str">
        <f t="shared" si="70"/>
        <v/>
      </c>
      <c r="AT153" s="416"/>
    </row>
    <row r="154" spans="1:46" ht="15" x14ac:dyDescent="0.25">
      <c r="A154" s="592">
        <v>151</v>
      </c>
      <c r="B154" s="604"/>
      <c r="C154" s="302"/>
      <c r="D154" s="304"/>
      <c r="E154" s="306"/>
      <c r="F154" s="698"/>
      <c r="G154" s="304"/>
      <c r="H154" s="304"/>
      <c r="I154" s="304"/>
      <c r="J154" s="304"/>
      <c r="K154" s="307"/>
      <c r="L154" s="590" t="str">
        <f t="shared" si="69"/>
        <v/>
      </c>
      <c r="M154" s="416"/>
      <c r="N154" s="405"/>
      <c r="O154" s="468" t="str">
        <f t="shared" si="63"/>
        <v xml:space="preserve"> </v>
      </c>
      <c r="P154" s="468" t="str">
        <f t="shared" si="64"/>
        <v xml:space="preserve"> </v>
      </c>
      <c r="Q154" s="468" t="str">
        <f t="shared" si="65"/>
        <v xml:space="preserve"> </v>
      </c>
      <c r="R154" s="468" t="str">
        <f t="shared" si="66"/>
        <v xml:space="preserve"> </v>
      </c>
      <c r="S154" s="468" t="str">
        <f t="shared" si="67"/>
        <v xml:space="preserve"> </v>
      </c>
      <c r="T154" s="468" t="str">
        <f t="shared" si="68"/>
        <v xml:space="preserve"> </v>
      </c>
      <c r="U154" s="405"/>
      <c r="V154" s="405"/>
      <c r="W154" s="405"/>
      <c r="X154" s="405"/>
      <c r="Y154" s="405"/>
      <c r="Z154" s="405"/>
      <c r="AA154" s="405"/>
      <c r="AB154" s="405"/>
      <c r="AC154" s="389" t="e">
        <f t="shared" si="71"/>
        <v>#N/A</v>
      </c>
      <c r="AD154" s="390">
        <f t="shared" si="72"/>
        <v>0</v>
      </c>
      <c r="AE154" s="390">
        <f t="shared" si="73"/>
        <v>0</v>
      </c>
      <c r="AF154" s="391">
        <f t="shared" si="74"/>
        <v>0</v>
      </c>
      <c r="AG154" s="392">
        <f t="shared" si="75"/>
        <v>0</v>
      </c>
      <c r="AH154" s="392">
        <f t="shared" si="76"/>
        <v>0</v>
      </c>
      <c r="AI154" s="392">
        <f t="shared" si="77"/>
        <v>0</v>
      </c>
      <c r="AJ154" s="393">
        <f t="shared" si="78"/>
        <v>0</v>
      </c>
      <c r="AK154" s="391">
        <f t="shared" si="79"/>
        <v>0</v>
      </c>
      <c r="AL154" s="391">
        <f t="shared" si="80"/>
        <v>0</v>
      </c>
      <c r="AM154" s="391">
        <f t="shared" si="81"/>
        <v>0</v>
      </c>
      <c r="AN154" s="391">
        <f t="shared" si="82"/>
        <v>0</v>
      </c>
      <c r="AO154" s="403">
        <f t="shared" si="83"/>
        <v>0</v>
      </c>
      <c r="AP154" s="405"/>
      <c r="AQ154" s="390" t="e">
        <f t="shared" si="84"/>
        <v>#N/A</v>
      </c>
      <c r="AR154" s="408">
        <f t="shared" si="85"/>
        <v>0</v>
      </c>
      <c r="AS154" s="409" t="str">
        <f t="shared" si="70"/>
        <v/>
      </c>
      <c r="AT154" s="416"/>
    </row>
    <row r="155" spans="1:46" ht="15" x14ac:dyDescent="0.25">
      <c r="A155" s="592">
        <v>152</v>
      </c>
      <c r="B155" s="604"/>
      <c r="C155" s="302"/>
      <c r="D155" s="304"/>
      <c r="E155" s="306"/>
      <c r="F155" s="698"/>
      <c r="G155" s="304"/>
      <c r="H155" s="304"/>
      <c r="I155" s="304"/>
      <c r="J155" s="304"/>
      <c r="K155" s="307"/>
      <c r="L155" s="590" t="str">
        <f t="shared" si="69"/>
        <v/>
      </c>
      <c r="M155" s="416"/>
      <c r="N155" s="405"/>
      <c r="O155" s="468" t="str">
        <f t="shared" si="63"/>
        <v xml:space="preserve"> </v>
      </c>
      <c r="P155" s="468" t="str">
        <f t="shared" si="64"/>
        <v xml:space="preserve"> </v>
      </c>
      <c r="Q155" s="468" t="str">
        <f t="shared" si="65"/>
        <v xml:space="preserve"> </v>
      </c>
      <c r="R155" s="468" t="str">
        <f t="shared" si="66"/>
        <v xml:space="preserve"> </v>
      </c>
      <c r="S155" s="468" t="str">
        <f t="shared" si="67"/>
        <v xml:space="preserve"> </v>
      </c>
      <c r="T155" s="468" t="str">
        <f t="shared" si="68"/>
        <v xml:space="preserve"> </v>
      </c>
      <c r="U155" s="405"/>
      <c r="V155" s="405"/>
      <c r="W155" s="405"/>
      <c r="X155" s="405"/>
      <c r="Y155" s="405"/>
      <c r="Z155" s="405"/>
      <c r="AA155" s="405"/>
      <c r="AB155" s="405"/>
      <c r="AC155" s="389" t="e">
        <f t="shared" si="71"/>
        <v>#N/A</v>
      </c>
      <c r="AD155" s="390">
        <f t="shared" si="72"/>
        <v>0</v>
      </c>
      <c r="AE155" s="390">
        <f t="shared" si="73"/>
        <v>0</v>
      </c>
      <c r="AF155" s="391">
        <f t="shared" si="74"/>
        <v>0</v>
      </c>
      <c r="AG155" s="392">
        <f t="shared" si="75"/>
        <v>0</v>
      </c>
      <c r="AH155" s="392">
        <f t="shared" si="76"/>
        <v>0</v>
      </c>
      <c r="AI155" s="392">
        <f t="shared" si="77"/>
        <v>0</v>
      </c>
      <c r="AJ155" s="393">
        <f t="shared" si="78"/>
        <v>0</v>
      </c>
      <c r="AK155" s="391">
        <f t="shared" si="79"/>
        <v>0</v>
      </c>
      <c r="AL155" s="391">
        <f t="shared" si="80"/>
        <v>0</v>
      </c>
      <c r="AM155" s="391">
        <f t="shared" si="81"/>
        <v>0</v>
      </c>
      <c r="AN155" s="391">
        <f t="shared" si="82"/>
        <v>0</v>
      </c>
      <c r="AO155" s="403">
        <f t="shared" si="83"/>
        <v>0</v>
      </c>
      <c r="AP155" s="405"/>
      <c r="AQ155" s="390" t="e">
        <f t="shared" si="84"/>
        <v>#N/A</v>
      </c>
      <c r="AR155" s="408">
        <f t="shared" si="85"/>
        <v>0</v>
      </c>
      <c r="AS155" s="409" t="str">
        <f t="shared" si="70"/>
        <v/>
      </c>
      <c r="AT155" s="416"/>
    </row>
    <row r="156" spans="1:46" ht="15" x14ac:dyDescent="0.25">
      <c r="A156" s="592">
        <v>153</v>
      </c>
      <c r="B156" s="604"/>
      <c r="C156" s="302"/>
      <c r="D156" s="304"/>
      <c r="E156" s="306"/>
      <c r="F156" s="698"/>
      <c r="G156" s="304"/>
      <c r="H156" s="304"/>
      <c r="I156" s="304"/>
      <c r="J156" s="304"/>
      <c r="K156" s="307"/>
      <c r="L156" s="590" t="str">
        <f t="shared" si="69"/>
        <v/>
      </c>
      <c r="M156" s="416"/>
      <c r="N156" s="405"/>
      <c r="O156" s="468" t="str">
        <f t="shared" si="63"/>
        <v xml:space="preserve"> </v>
      </c>
      <c r="P156" s="468" t="str">
        <f t="shared" si="64"/>
        <v xml:space="preserve"> </v>
      </c>
      <c r="Q156" s="468" t="str">
        <f t="shared" si="65"/>
        <v xml:space="preserve"> </v>
      </c>
      <c r="R156" s="468" t="str">
        <f t="shared" si="66"/>
        <v xml:space="preserve"> </v>
      </c>
      <c r="S156" s="468" t="str">
        <f t="shared" si="67"/>
        <v xml:space="preserve"> </v>
      </c>
      <c r="T156" s="468" t="str">
        <f t="shared" si="68"/>
        <v xml:space="preserve"> </v>
      </c>
      <c r="U156" s="405"/>
      <c r="V156" s="405"/>
      <c r="W156" s="405"/>
      <c r="X156" s="405"/>
      <c r="Y156" s="405"/>
      <c r="Z156" s="405"/>
      <c r="AA156" s="405"/>
      <c r="AB156" s="405"/>
      <c r="AC156" s="389" t="e">
        <f t="shared" si="71"/>
        <v>#N/A</v>
      </c>
      <c r="AD156" s="390">
        <f t="shared" si="72"/>
        <v>0</v>
      </c>
      <c r="AE156" s="390">
        <f t="shared" si="73"/>
        <v>0</v>
      </c>
      <c r="AF156" s="391">
        <f t="shared" si="74"/>
        <v>0</v>
      </c>
      <c r="AG156" s="392">
        <f t="shared" si="75"/>
        <v>0</v>
      </c>
      <c r="AH156" s="392">
        <f t="shared" si="76"/>
        <v>0</v>
      </c>
      <c r="AI156" s="392">
        <f t="shared" si="77"/>
        <v>0</v>
      </c>
      <c r="AJ156" s="393">
        <f t="shared" si="78"/>
        <v>0</v>
      </c>
      <c r="AK156" s="391">
        <f t="shared" si="79"/>
        <v>0</v>
      </c>
      <c r="AL156" s="391">
        <f t="shared" si="80"/>
        <v>0</v>
      </c>
      <c r="AM156" s="391">
        <f t="shared" si="81"/>
        <v>0</v>
      </c>
      <c r="AN156" s="391">
        <f t="shared" si="82"/>
        <v>0</v>
      </c>
      <c r="AO156" s="403">
        <f t="shared" si="83"/>
        <v>0</v>
      </c>
      <c r="AP156" s="405"/>
      <c r="AQ156" s="390" t="e">
        <f t="shared" si="84"/>
        <v>#N/A</v>
      </c>
      <c r="AR156" s="408">
        <f t="shared" si="85"/>
        <v>0</v>
      </c>
      <c r="AS156" s="409" t="str">
        <f t="shared" si="70"/>
        <v/>
      </c>
      <c r="AT156" s="416"/>
    </row>
    <row r="157" spans="1:46" ht="15" x14ac:dyDescent="0.25">
      <c r="A157" s="592">
        <v>154</v>
      </c>
      <c r="B157" s="604"/>
      <c r="C157" s="302"/>
      <c r="D157" s="304"/>
      <c r="E157" s="306"/>
      <c r="F157" s="698"/>
      <c r="G157" s="304"/>
      <c r="H157" s="304"/>
      <c r="I157" s="304"/>
      <c r="J157" s="304"/>
      <c r="K157" s="307"/>
      <c r="L157" s="590" t="str">
        <f t="shared" si="69"/>
        <v/>
      </c>
      <c r="M157" s="416"/>
      <c r="N157" s="405"/>
      <c r="O157" s="468" t="str">
        <f t="shared" si="63"/>
        <v xml:space="preserve"> </v>
      </c>
      <c r="P157" s="468" t="str">
        <f t="shared" si="64"/>
        <v xml:space="preserve"> </v>
      </c>
      <c r="Q157" s="468" t="str">
        <f t="shared" si="65"/>
        <v xml:space="preserve"> </v>
      </c>
      <c r="R157" s="468" t="str">
        <f t="shared" si="66"/>
        <v xml:space="preserve"> </v>
      </c>
      <c r="S157" s="468" t="str">
        <f t="shared" si="67"/>
        <v xml:space="preserve"> </v>
      </c>
      <c r="T157" s="468" t="str">
        <f t="shared" si="68"/>
        <v xml:space="preserve"> </v>
      </c>
      <c r="U157" s="405"/>
      <c r="V157" s="405"/>
      <c r="W157" s="405"/>
      <c r="X157" s="405"/>
      <c r="Y157" s="405"/>
      <c r="Z157" s="405"/>
      <c r="AA157" s="405"/>
      <c r="AB157" s="405"/>
      <c r="AC157" s="389" t="e">
        <f t="shared" si="71"/>
        <v>#N/A</v>
      </c>
      <c r="AD157" s="390">
        <f t="shared" si="72"/>
        <v>0</v>
      </c>
      <c r="AE157" s="390">
        <f t="shared" si="73"/>
        <v>0</v>
      </c>
      <c r="AF157" s="391">
        <f t="shared" si="74"/>
        <v>0</v>
      </c>
      <c r="AG157" s="392">
        <f t="shared" si="75"/>
        <v>0</v>
      </c>
      <c r="AH157" s="392">
        <f t="shared" si="76"/>
        <v>0</v>
      </c>
      <c r="AI157" s="392">
        <f t="shared" si="77"/>
        <v>0</v>
      </c>
      <c r="AJ157" s="393">
        <f t="shared" si="78"/>
        <v>0</v>
      </c>
      <c r="AK157" s="391">
        <f t="shared" si="79"/>
        <v>0</v>
      </c>
      <c r="AL157" s="391">
        <f t="shared" si="80"/>
        <v>0</v>
      </c>
      <c r="AM157" s="391">
        <f t="shared" si="81"/>
        <v>0</v>
      </c>
      <c r="AN157" s="391">
        <f t="shared" si="82"/>
        <v>0</v>
      </c>
      <c r="AO157" s="403">
        <f t="shared" si="83"/>
        <v>0</v>
      </c>
      <c r="AP157" s="405"/>
      <c r="AQ157" s="390" t="e">
        <f t="shared" si="84"/>
        <v>#N/A</v>
      </c>
      <c r="AR157" s="408">
        <f t="shared" si="85"/>
        <v>0</v>
      </c>
      <c r="AS157" s="409" t="str">
        <f t="shared" si="70"/>
        <v/>
      </c>
      <c r="AT157" s="416"/>
    </row>
    <row r="158" spans="1:46" ht="15" x14ac:dyDescent="0.25">
      <c r="A158" s="592">
        <v>155</v>
      </c>
      <c r="B158" s="604"/>
      <c r="C158" s="302"/>
      <c r="D158" s="304"/>
      <c r="E158" s="306"/>
      <c r="F158" s="698"/>
      <c r="G158" s="304"/>
      <c r="H158" s="304"/>
      <c r="I158" s="304"/>
      <c r="J158" s="304"/>
      <c r="K158" s="307"/>
      <c r="L158" s="590" t="str">
        <f t="shared" si="69"/>
        <v/>
      </c>
      <c r="M158" s="416"/>
      <c r="N158" s="405"/>
      <c r="O158" s="468" t="str">
        <f t="shared" si="63"/>
        <v xml:space="preserve"> </v>
      </c>
      <c r="P158" s="468" t="str">
        <f t="shared" si="64"/>
        <v xml:space="preserve"> </v>
      </c>
      <c r="Q158" s="468" t="str">
        <f t="shared" si="65"/>
        <v xml:space="preserve"> </v>
      </c>
      <c r="R158" s="468" t="str">
        <f t="shared" si="66"/>
        <v xml:space="preserve"> </v>
      </c>
      <c r="S158" s="468" t="str">
        <f t="shared" si="67"/>
        <v xml:space="preserve"> </v>
      </c>
      <c r="T158" s="468" t="str">
        <f t="shared" si="68"/>
        <v xml:space="preserve"> </v>
      </c>
      <c r="U158" s="405"/>
      <c r="V158" s="405"/>
      <c r="W158" s="405"/>
      <c r="X158" s="405"/>
      <c r="Y158" s="405"/>
      <c r="Z158" s="405"/>
      <c r="AA158" s="405"/>
      <c r="AB158" s="405"/>
      <c r="AC158" s="389" t="e">
        <f t="shared" si="71"/>
        <v>#N/A</v>
      </c>
      <c r="AD158" s="390">
        <f t="shared" si="72"/>
        <v>0</v>
      </c>
      <c r="AE158" s="390">
        <f t="shared" si="73"/>
        <v>0</v>
      </c>
      <c r="AF158" s="391">
        <f t="shared" si="74"/>
        <v>0</v>
      </c>
      <c r="AG158" s="392">
        <f t="shared" si="75"/>
        <v>0</v>
      </c>
      <c r="AH158" s="392">
        <f t="shared" si="76"/>
        <v>0</v>
      </c>
      <c r="AI158" s="392">
        <f t="shared" si="77"/>
        <v>0</v>
      </c>
      <c r="AJ158" s="393">
        <f t="shared" si="78"/>
        <v>0</v>
      </c>
      <c r="AK158" s="391">
        <f t="shared" si="79"/>
        <v>0</v>
      </c>
      <c r="AL158" s="391">
        <f t="shared" si="80"/>
        <v>0</v>
      </c>
      <c r="AM158" s="391">
        <f t="shared" si="81"/>
        <v>0</v>
      </c>
      <c r="AN158" s="391">
        <f t="shared" si="82"/>
        <v>0</v>
      </c>
      <c r="AO158" s="403">
        <f t="shared" si="83"/>
        <v>0</v>
      </c>
      <c r="AP158" s="405"/>
      <c r="AQ158" s="390" t="e">
        <f t="shared" si="84"/>
        <v>#N/A</v>
      </c>
      <c r="AR158" s="408">
        <f t="shared" si="85"/>
        <v>0</v>
      </c>
      <c r="AS158" s="409" t="str">
        <f t="shared" si="70"/>
        <v/>
      </c>
      <c r="AT158" s="416"/>
    </row>
    <row r="159" spans="1:46" ht="15" x14ac:dyDescent="0.25">
      <c r="A159" s="592">
        <v>156</v>
      </c>
      <c r="B159" s="604"/>
      <c r="C159" s="302"/>
      <c r="D159" s="304"/>
      <c r="E159" s="306"/>
      <c r="F159" s="698"/>
      <c r="G159" s="304"/>
      <c r="H159" s="304"/>
      <c r="I159" s="304"/>
      <c r="J159" s="304"/>
      <c r="K159" s="307"/>
      <c r="L159" s="590" t="str">
        <f t="shared" si="69"/>
        <v/>
      </c>
      <c r="M159" s="416"/>
      <c r="N159" s="405"/>
      <c r="O159" s="468" t="str">
        <f t="shared" si="63"/>
        <v xml:space="preserve"> </v>
      </c>
      <c r="P159" s="468" t="str">
        <f t="shared" si="64"/>
        <v xml:space="preserve"> </v>
      </c>
      <c r="Q159" s="468" t="str">
        <f t="shared" si="65"/>
        <v xml:space="preserve"> </v>
      </c>
      <c r="R159" s="468" t="str">
        <f t="shared" si="66"/>
        <v xml:space="preserve"> </v>
      </c>
      <c r="S159" s="468" t="str">
        <f t="shared" si="67"/>
        <v xml:space="preserve"> </v>
      </c>
      <c r="T159" s="468" t="str">
        <f t="shared" si="68"/>
        <v xml:space="preserve"> </v>
      </c>
      <c r="U159" s="405"/>
      <c r="V159" s="405"/>
      <c r="W159" s="405"/>
      <c r="X159" s="405"/>
      <c r="Y159" s="405"/>
      <c r="Z159" s="405"/>
      <c r="AA159" s="405"/>
      <c r="AB159" s="405"/>
      <c r="AC159" s="389" t="e">
        <f t="shared" si="71"/>
        <v>#N/A</v>
      </c>
      <c r="AD159" s="390">
        <f t="shared" si="72"/>
        <v>0</v>
      </c>
      <c r="AE159" s="390">
        <f t="shared" si="73"/>
        <v>0</v>
      </c>
      <c r="AF159" s="391">
        <f t="shared" si="74"/>
        <v>0</v>
      </c>
      <c r="AG159" s="392">
        <f t="shared" si="75"/>
        <v>0</v>
      </c>
      <c r="AH159" s="392">
        <f t="shared" si="76"/>
        <v>0</v>
      </c>
      <c r="AI159" s="392">
        <f t="shared" si="77"/>
        <v>0</v>
      </c>
      <c r="AJ159" s="393">
        <f t="shared" si="78"/>
        <v>0</v>
      </c>
      <c r="AK159" s="391">
        <f t="shared" si="79"/>
        <v>0</v>
      </c>
      <c r="AL159" s="391">
        <f t="shared" si="80"/>
        <v>0</v>
      </c>
      <c r="AM159" s="391">
        <f t="shared" si="81"/>
        <v>0</v>
      </c>
      <c r="AN159" s="391">
        <f t="shared" si="82"/>
        <v>0</v>
      </c>
      <c r="AO159" s="403">
        <f t="shared" si="83"/>
        <v>0</v>
      </c>
      <c r="AP159" s="405"/>
      <c r="AQ159" s="390" t="e">
        <f t="shared" si="84"/>
        <v>#N/A</v>
      </c>
      <c r="AR159" s="408">
        <f t="shared" si="85"/>
        <v>0</v>
      </c>
      <c r="AS159" s="409" t="str">
        <f t="shared" si="70"/>
        <v/>
      </c>
      <c r="AT159" s="416"/>
    </row>
    <row r="160" spans="1:46" ht="15" x14ac:dyDescent="0.25">
      <c r="A160" s="592">
        <v>157</v>
      </c>
      <c r="B160" s="604"/>
      <c r="C160" s="302"/>
      <c r="D160" s="304"/>
      <c r="E160" s="306"/>
      <c r="F160" s="698"/>
      <c r="G160" s="304"/>
      <c r="H160" s="304"/>
      <c r="I160" s="304"/>
      <c r="J160" s="304"/>
      <c r="K160" s="307"/>
      <c r="L160" s="590" t="str">
        <f t="shared" si="69"/>
        <v/>
      </c>
      <c r="M160" s="416"/>
      <c r="N160" s="405"/>
      <c r="O160" s="468" t="str">
        <f t="shared" ref="O160:O223" si="86">IF(AND($F145="Studio",$L145="Yes"),$E145," ")</f>
        <v xml:space="preserve"> </v>
      </c>
      <c r="P160" s="468" t="str">
        <f t="shared" ref="P160:P223" si="87">IF(AND($F145=1,$L145="Yes"),$E145," ")</f>
        <v xml:space="preserve"> </v>
      </c>
      <c r="Q160" s="468" t="str">
        <f t="shared" ref="Q160:Q223" si="88">IF(AND($F145=2,$L145="Yes"),$E145," ")</f>
        <v xml:space="preserve"> </v>
      </c>
      <c r="R160" s="468" t="str">
        <f t="shared" ref="R160:R223" si="89">IF(AND($F145=3,$L145="Yes"),$E145," ")</f>
        <v xml:space="preserve"> </v>
      </c>
      <c r="S160" s="468" t="str">
        <f t="shared" ref="S160:S223" si="90">IF(AND($F145=4,$L145="Yes"),$E145," ")</f>
        <v xml:space="preserve"> </v>
      </c>
      <c r="T160" s="468" t="str">
        <f t="shared" ref="T160:T223" si="91">IF(AND($F145=5,$L145="Yes"),$E145," ")</f>
        <v xml:space="preserve"> </v>
      </c>
      <c r="U160" s="405"/>
      <c r="V160" s="405"/>
      <c r="W160" s="405"/>
      <c r="X160" s="405"/>
      <c r="Y160" s="405"/>
      <c r="Z160" s="405"/>
      <c r="AA160" s="405"/>
      <c r="AB160" s="405"/>
      <c r="AC160" s="389" t="e">
        <f t="shared" si="71"/>
        <v>#N/A</v>
      </c>
      <c r="AD160" s="390">
        <f t="shared" si="72"/>
        <v>0</v>
      </c>
      <c r="AE160" s="390">
        <f t="shared" si="73"/>
        <v>0</v>
      </c>
      <c r="AF160" s="391">
        <f t="shared" si="74"/>
        <v>0</v>
      </c>
      <c r="AG160" s="392">
        <f t="shared" si="75"/>
        <v>0</v>
      </c>
      <c r="AH160" s="392">
        <f t="shared" si="76"/>
        <v>0</v>
      </c>
      <c r="AI160" s="392">
        <f t="shared" si="77"/>
        <v>0</v>
      </c>
      <c r="AJ160" s="393">
        <f t="shared" si="78"/>
        <v>0</v>
      </c>
      <c r="AK160" s="391">
        <f t="shared" si="79"/>
        <v>0</v>
      </c>
      <c r="AL160" s="391">
        <f t="shared" si="80"/>
        <v>0</v>
      </c>
      <c r="AM160" s="391">
        <f t="shared" si="81"/>
        <v>0</v>
      </c>
      <c r="AN160" s="391">
        <f t="shared" si="82"/>
        <v>0</v>
      </c>
      <c r="AO160" s="403">
        <f t="shared" si="83"/>
        <v>0</v>
      </c>
      <c r="AP160" s="405"/>
      <c r="AQ160" s="390" t="e">
        <f t="shared" si="84"/>
        <v>#N/A</v>
      </c>
      <c r="AR160" s="408">
        <f t="shared" si="85"/>
        <v>0</v>
      </c>
      <c r="AS160" s="409" t="str">
        <f t="shared" si="70"/>
        <v/>
      </c>
      <c r="AT160" s="416"/>
    </row>
    <row r="161" spans="1:46" ht="15" x14ac:dyDescent="0.25">
      <c r="A161" s="592">
        <v>158</v>
      </c>
      <c r="B161" s="604"/>
      <c r="C161" s="302"/>
      <c r="D161" s="304"/>
      <c r="E161" s="306"/>
      <c r="F161" s="698"/>
      <c r="G161" s="304"/>
      <c r="H161" s="304"/>
      <c r="I161" s="304"/>
      <c r="J161" s="304"/>
      <c r="K161" s="307"/>
      <c r="L161" s="590" t="str">
        <f t="shared" si="69"/>
        <v/>
      </c>
      <c r="M161" s="416"/>
      <c r="N161" s="405"/>
      <c r="O161" s="468" t="str">
        <f t="shared" si="86"/>
        <v xml:space="preserve"> </v>
      </c>
      <c r="P161" s="468" t="str">
        <f t="shared" si="87"/>
        <v xml:space="preserve"> </v>
      </c>
      <c r="Q161" s="468" t="str">
        <f t="shared" si="88"/>
        <v xml:space="preserve"> </v>
      </c>
      <c r="R161" s="468" t="str">
        <f t="shared" si="89"/>
        <v xml:space="preserve"> </v>
      </c>
      <c r="S161" s="468" t="str">
        <f t="shared" si="90"/>
        <v xml:space="preserve"> </v>
      </c>
      <c r="T161" s="468" t="str">
        <f t="shared" si="91"/>
        <v xml:space="preserve"> </v>
      </c>
      <c r="U161" s="405"/>
      <c r="V161" s="405"/>
      <c r="W161" s="405"/>
      <c r="X161" s="405"/>
      <c r="Y161" s="405"/>
      <c r="Z161" s="405"/>
      <c r="AA161" s="405"/>
      <c r="AB161" s="405"/>
      <c r="AC161" s="389" t="e">
        <f t="shared" si="71"/>
        <v>#N/A</v>
      </c>
      <c r="AD161" s="390">
        <f t="shared" si="72"/>
        <v>0</v>
      </c>
      <c r="AE161" s="390">
        <f t="shared" si="73"/>
        <v>0</v>
      </c>
      <c r="AF161" s="391">
        <f t="shared" si="74"/>
        <v>0</v>
      </c>
      <c r="AG161" s="392">
        <f t="shared" si="75"/>
        <v>0</v>
      </c>
      <c r="AH161" s="392">
        <f t="shared" si="76"/>
        <v>0</v>
      </c>
      <c r="AI161" s="392">
        <f t="shared" si="77"/>
        <v>0</v>
      </c>
      <c r="AJ161" s="393">
        <f t="shared" si="78"/>
        <v>0</v>
      </c>
      <c r="AK161" s="391">
        <f t="shared" si="79"/>
        <v>0</v>
      </c>
      <c r="AL161" s="391">
        <f t="shared" si="80"/>
        <v>0</v>
      </c>
      <c r="AM161" s="391">
        <f t="shared" si="81"/>
        <v>0</v>
      </c>
      <c r="AN161" s="391">
        <f t="shared" si="82"/>
        <v>0</v>
      </c>
      <c r="AO161" s="403">
        <f t="shared" si="83"/>
        <v>0</v>
      </c>
      <c r="AP161" s="405"/>
      <c r="AQ161" s="390" t="e">
        <f t="shared" si="84"/>
        <v>#N/A</v>
      </c>
      <c r="AR161" s="408">
        <f t="shared" si="85"/>
        <v>0</v>
      </c>
      <c r="AS161" s="409" t="str">
        <f t="shared" si="70"/>
        <v/>
      </c>
      <c r="AT161" s="416"/>
    </row>
    <row r="162" spans="1:46" ht="15" x14ac:dyDescent="0.25">
      <c r="A162" s="592">
        <v>159</v>
      </c>
      <c r="B162" s="604"/>
      <c r="C162" s="302"/>
      <c r="D162" s="304"/>
      <c r="E162" s="306"/>
      <c r="F162" s="698"/>
      <c r="G162" s="304"/>
      <c r="H162" s="304"/>
      <c r="I162" s="304"/>
      <c r="J162" s="304"/>
      <c r="K162" s="307"/>
      <c r="L162" s="590" t="str">
        <f t="shared" si="69"/>
        <v/>
      </c>
      <c r="M162" s="416"/>
      <c r="N162" s="405"/>
      <c r="O162" s="468" t="str">
        <f t="shared" si="86"/>
        <v xml:space="preserve"> </v>
      </c>
      <c r="P162" s="468" t="str">
        <f t="shared" si="87"/>
        <v xml:space="preserve"> </v>
      </c>
      <c r="Q162" s="468" t="str">
        <f t="shared" si="88"/>
        <v xml:space="preserve"> </v>
      </c>
      <c r="R162" s="468" t="str">
        <f t="shared" si="89"/>
        <v xml:space="preserve"> </v>
      </c>
      <c r="S162" s="468" t="str">
        <f t="shared" si="90"/>
        <v xml:space="preserve"> </v>
      </c>
      <c r="T162" s="468" t="str">
        <f t="shared" si="91"/>
        <v xml:space="preserve"> </v>
      </c>
      <c r="U162" s="405"/>
      <c r="V162" s="405"/>
      <c r="W162" s="405"/>
      <c r="X162" s="405"/>
      <c r="Y162" s="405"/>
      <c r="Z162" s="405"/>
      <c r="AA162" s="405"/>
      <c r="AB162" s="405"/>
      <c r="AC162" s="389" t="e">
        <f t="shared" si="71"/>
        <v>#N/A</v>
      </c>
      <c r="AD162" s="390">
        <f t="shared" si="72"/>
        <v>0</v>
      </c>
      <c r="AE162" s="390">
        <f t="shared" si="73"/>
        <v>0</v>
      </c>
      <c r="AF162" s="391">
        <f t="shared" si="74"/>
        <v>0</v>
      </c>
      <c r="AG162" s="392">
        <f t="shared" si="75"/>
        <v>0</v>
      </c>
      <c r="AH162" s="392">
        <f t="shared" si="76"/>
        <v>0</v>
      </c>
      <c r="AI162" s="392">
        <f t="shared" si="77"/>
        <v>0</v>
      </c>
      <c r="AJ162" s="393">
        <f t="shared" si="78"/>
        <v>0</v>
      </c>
      <c r="AK162" s="391">
        <f t="shared" si="79"/>
        <v>0</v>
      </c>
      <c r="AL162" s="391">
        <f t="shared" si="80"/>
        <v>0</v>
      </c>
      <c r="AM162" s="391">
        <f t="shared" si="81"/>
        <v>0</v>
      </c>
      <c r="AN162" s="391">
        <f t="shared" si="82"/>
        <v>0</v>
      </c>
      <c r="AO162" s="403">
        <f t="shared" si="83"/>
        <v>0</v>
      </c>
      <c r="AP162" s="405"/>
      <c r="AQ162" s="390" t="e">
        <f t="shared" si="84"/>
        <v>#N/A</v>
      </c>
      <c r="AR162" s="408">
        <f t="shared" si="85"/>
        <v>0</v>
      </c>
      <c r="AS162" s="409" t="str">
        <f t="shared" si="70"/>
        <v/>
      </c>
      <c r="AT162" s="416"/>
    </row>
    <row r="163" spans="1:46" ht="15" x14ac:dyDescent="0.25">
      <c r="A163" s="592">
        <v>160</v>
      </c>
      <c r="B163" s="604"/>
      <c r="C163" s="302"/>
      <c r="D163" s="304"/>
      <c r="E163" s="306"/>
      <c r="F163" s="698"/>
      <c r="G163" s="304"/>
      <c r="H163" s="304"/>
      <c r="I163" s="304"/>
      <c r="J163" s="304"/>
      <c r="K163" s="307"/>
      <c r="L163" s="590" t="str">
        <f t="shared" si="69"/>
        <v/>
      </c>
      <c r="M163" s="416"/>
      <c r="N163" s="405"/>
      <c r="O163" s="468" t="str">
        <f t="shared" si="86"/>
        <v xml:space="preserve"> </v>
      </c>
      <c r="P163" s="468" t="str">
        <f t="shared" si="87"/>
        <v xml:space="preserve"> </v>
      </c>
      <c r="Q163" s="468" t="str">
        <f t="shared" si="88"/>
        <v xml:space="preserve"> </v>
      </c>
      <c r="R163" s="468" t="str">
        <f t="shared" si="89"/>
        <v xml:space="preserve"> </v>
      </c>
      <c r="S163" s="468" t="str">
        <f t="shared" si="90"/>
        <v xml:space="preserve"> </v>
      </c>
      <c r="T163" s="468" t="str">
        <f t="shared" si="91"/>
        <v xml:space="preserve"> </v>
      </c>
      <c r="U163" s="405"/>
      <c r="V163" s="405"/>
      <c r="W163" s="405"/>
      <c r="X163" s="405"/>
      <c r="Y163" s="405"/>
      <c r="Z163" s="405"/>
      <c r="AA163" s="405"/>
      <c r="AB163" s="405"/>
      <c r="AC163" s="389" t="e">
        <f t="shared" si="71"/>
        <v>#N/A</v>
      </c>
      <c r="AD163" s="390">
        <f t="shared" si="72"/>
        <v>0</v>
      </c>
      <c r="AE163" s="390">
        <f t="shared" si="73"/>
        <v>0</v>
      </c>
      <c r="AF163" s="391">
        <f t="shared" si="74"/>
        <v>0</v>
      </c>
      <c r="AG163" s="392">
        <f t="shared" si="75"/>
        <v>0</v>
      </c>
      <c r="AH163" s="392">
        <f t="shared" si="76"/>
        <v>0</v>
      </c>
      <c r="AI163" s="392">
        <f t="shared" si="77"/>
        <v>0</v>
      </c>
      <c r="AJ163" s="393">
        <f t="shared" si="78"/>
        <v>0</v>
      </c>
      <c r="AK163" s="391">
        <f t="shared" si="79"/>
        <v>0</v>
      </c>
      <c r="AL163" s="391">
        <f t="shared" si="80"/>
        <v>0</v>
      </c>
      <c r="AM163" s="391">
        <f t="shared" si="81"/>
        <v>0</v>
      </c>
      <c r="AN163" s="391">
        <f t="shared" si="82"/>
        <v>0</v>
      </c>
      <c r="AO163" s="403">
        <f t="shared" si="83"/>
        <v>0</v>
      </c>
      <c r="AP163" s="405"/>
      <c r="AQ163" s="390" t="e">
        <f t="shared" si="84"/>
        <v>#N/A</v>
      </c>
      <c r="AR163" s="408">
        <f t="shared" si="85"/>
        <v>0</v>
      </c>
      <c r="AS163" s="409" t="str">
        <f t="shared" si="70"/>
        <v/>
      </c>
      <c r="AT163" s="416"/>
    </row>
    <row r="164" spans="1:46" ht="15" x14ac:dyDescent="0.25">
      <c r="A164" s="592">
        <v>161</v>
      </c>
      <c r="B164" s="604"/>
      <c r="C164" s="302"/>
      <c r="D164" s="304"/>
      <c r="E164" s="306"/>
      <c r="F164" s="698"/>
      <c r="G164" s="304"/>
      <c r="H164" s="304"/>
      <c r="I164" s="304"/>
      <c r="J164" s="304"/>
      <c r="K164" s="307"/>
      <c r="L164" s="590" t="str">
        <f t="shared" si="69"/>
        <v/>
      </c>
      <c r="M164" s="416"/>
      <c r="N164" s="405"/>
      <c r="O164" s="468" t="str">
        <f t="shared" si="86"/>
        <v xml:space="preserve"> </v>
      </c>
      <c r="P164" s="468" t="str">
        <f t="shared" si="87"/>
        <v xml:space="preserve"> </v>
      </c>
      <c r="Q164" s="468" t="str">
        <f t="shared" si="88"/>
        <v xml:space="preserve"> </v>
      </c>
      <c r="R164" s="468" t="str">
        <f t="shared" si="89"/>
        <v xml:space="preserve"> </v>
      </c>
      <c r="S164" s="468" t="str">
        <f t="shared" si="90"/>
        <v xml:space="preserve"> </v>
      </c>
      <c r="T164" s="468" t="str">
        <f t="shared" si="91"/>
        <v xml:space="preserve"> </v>
      </c>
      <c r="U164" s="405"/>
      <c r="V164" s="405"/>
      <c r="W164" s="405"/>
      <c r="X164" s="405"/>
      <c r="Y164" s="405"/>
      <c r="Z164" s="405"/>
      <c r="AA164" s="405"/>
      <c r="AB164" s="405"/>
      <c r="AC164" s="389" t="e">
        <f t="shared" si="71"/>
        <v>#N/A</v>
      </c>
      <c r="AD164" s="390">
        <f t="shared" si="72"/>
        <v>0</v>
      </c>
      <c r="AE164" s="390">
        <f t="shared" si="73"/>
        <v>0</v>
      </c>
      <c r="AF164" s="391">
        <f t="shared" si="74"/>
        <v>0</v>
      </c>
      <c r="AG164" s="392">
        <f t="shared" si="75"/>
        <v>0</v>
      </c>
      <c r="AH164" s="392">
        <f t="shared" si="76"/>
        <v>0</v>
      </c>
      <c r="AI164" s="392">
        <f t="shared" si="77"/>
        <v>0</v>
      </c>
      <c r="AJ164" s="393">
        <f t="shared" si="78"/>
        <v>0</v>
      </c>
      <c r="AK164" s="391">
        <f t="shared" si="79"/>
        <v>0</v>
      </c>
      <c r="AL164" s="391">
        <f t="shared" si="80"/>
        <v>0</v>
      </c>
      <c r="AM164" s="391">
        <f t="shared" si="81"/>
        <v>0</v>
      </c>
      <c r="AN164" s="391">
        <f t="shared" si="82"/>
        <v>0</v>
      </c>
      <c r="AO164" s="403">
        <f t="shared" si="83"/>
        <v>0</v>
      </c>
      <c r="AP164" s="405"/>
      <c r="AQ164" s="390" t="e">
        <f t="shared" si="84"/>
        <v>#N/A</v>
      </c>
      <c r="AR164" s="408">
        <f t="shared" si="85"/>
        <v>0</v>
      </c>
      <c r="AS164" s="409" t="str">
        <f t="shared" si="70"/>
        <v/>
      </c>
      <c r="AT164" s="416"/>
    </row>
    <row r="165" spans="1:46" ht="15" x14ac:dyDescent="0.25">
      <c r="A165" s="592">
        <v>162</v>
      </c>
      <c r="B165" s="604"/>
      <c r="C165" s="302"/>
      <c r="D165" s="304"/>
      <c r="E165" s="306"/>
      <c r="F165" s="698"/>
      <c r="G165" s="304"/>
      <c r="H165" s="304"/>
      <c r="I165" s="304"/>
      <c r="J165" s="304"/>
      <c r="K165" s="307"/>
      <c r="L165" s="590" t="str">
        <f t="shared" si="69"/>
        <v/>
      </c>
      <c r="M165" s="416"/>
      <c r="N165" s="405"/>
      <c r="O165" s="468" t="str">
        <f t="shared" si="86"/>
        <v xml:space="preserve"> </v>
      </c>
      <c r="P165" s="468" t="str">
        <f t="shared" si="87"/>
        <v xml:space="preserve"> </v>
      </c>
      <c r="Q165" s="468" t="str">
        <f t="shared" si="88"/>
        <v xml:space="preserve"> </v>
      </c>
      <c r="R165" s="468" t="str">
        <f t="shared" si="89"/>
        <v xml:space="preserve"> </v>
      </c>
      <c r="S165" s="468" t="str">
        <f t="shared" si="90"/>
        <v xml:space="preserve"> </v>
      </c>
      <c r="T165" s="468" t="str">
        <f t="shared" si="91"/>
        <v xml:space="preserve"> </v>
      </c>
      <c r="U165" s="405"/>
      <c r="V165" s="405"/>
      <c r="W165" s="405"/>
      <c r="X165" s="405"/>
      <c r="Y165" s="405"/>
      <c r="Z165" s="405"/>
      <c r="AA165" s="405"/>
      <c r="AB165" s="405"/>
      <c r="AC165" s="389" t="e">
        <f t="shared" si="71"/>
        <v>#N/A</v>
      </c>
      <c r="AD165" s="390">
        <f t="shared" si="72"/>
        <v>0</v>
      </c>
      <c r="AE165" s="390">
        <f t="shared" si="73"/>
        <v>0</v>
      </c>
      <c r="AF165" s="391">
        <f t="shared" si="74"/>
        <v>0</v>
      </c>
      <c r="AG165" s="392">
        <f t="shared" si="75"/>
        <v>0</v>
      </c>
      <c r="AH165" s="392">
        <f t="shared" si="76"/>
        <v>0</v>
      </c>
      <c r="AI165" s="392">
        <f t="shared" si="77"/>
        <v>0</v>
      </c>
      <c r="AJ165" s="393">
        <f t="shared" si="78"/>
        <v>0</v>
      </c>
      <c r="AK165" s="391">
        <f t="shared" si="79"/>
        <v>0</v>
      </c>
      <c r="AL165" s="391">
        <f t="shared" si="80"/>
        <v>0</v>
      </c>
      <c r="AM165" s="391">
        <f t="shared" si="81"/>
        <v>0</v>
      </c>
      <c r="AN165" s="391">
        <f t="shared" si="82"/>
        <v>0</v>
      </c>
      <c r="AO165" s="403">
        <f t="shared" si="83"/>
        <v>0</v>
      </c>
      <c r="AP165" s="405"/>
      <c r="AQ165" s="390" t="e">
        <f t="shared" si="84"/>
        <v>#N/A</v>
      </c>
      <c r="AR165" s="408">
        <f t="shared" si="85"/>
        <v>0</v>
      </c>
      <c r="AS165" s="409" t="str">
        <f t="shared" si="70"/>
        <v/>
      </c>
      <c r="AT165" s="416"/>
    </row>
    <row r="166" spans="1:46" ht="15" x14ac:dyDescent="0.25">
      <c r="A166" s="592">
        <v>163</v>
      </c>
      <c r="B166" s="604"/>
      <c r="C166" s="302"/>
      <c r="D166" s="304"/>
      <c r="E166" s="306"/>
      <c r="F166" s="698"/>
      <c r="G166" s="304"/>
      <c r="H166" s="304"/>
      <c r="I166" s="304"/>
      <c r="J166" s="304"/>
      <c r="K166" s="307"/>
      <c r="L166" s="590" t="str">
        <f t="shared" si="69"/>
        <v/>
      </c>
      <c r="M166" s="416"/>
      <c r="N166" s="405"/>
      <c r="O166" s="468" t="str">
        <f t="shared" si="86"/>
        <v xml:space="preserve"> </v>
      </c>
      <c r="P166" s="468" t="str">
        <f t="shared" si="87"/>
        <v xml:space="preserve"> </v>
      </c>
      <c r="Q166" s="468" t="str">
        <f t="shared" si="88"/>
        <v xml:space="preserve"> </v>
      </c>
      <c r="R166" s="468" t="str">
        <f t="shared" si="89"/>
        <v xml:space="preserve"> </v>
      </c>
      <c r="S166" s="468" t="str">
        <f t="shared" si="90"/>
        <v xml:space="preserve"> </v>
      </c>
      <c r="T166" s="468" t="str">
        <f t="shared" si="91"/>
        <v xml:space="preserve"> </v>
      </c>
      <c r="U166" s="405"/>
      <c r="V166" s="405"/>
      <c r="W166" s="405"/>
      <c r="X166" s="405"/>
      <c r="Y166" s="405"/>
      <c r="Z166" s="405"/>
      <c r="AA166" s="405"/>
      <c r="AB166" s="405"/>
      <c r="AC166" s="389" t="e">
        <f t="shared" si="71"/>
        <v>#N/A</v>
      </c>
      <c r="AD166" s="390">
        <f t="shared" si="72"/>
        <v>0</v>
      </c>
      <c r="AE166" s="390">
        <f t="shared" si="73"/>
        <v>0</v>
      </c>
      <c r="AF166" s="391">
        <f t="shared" si="74"/>
        <v>0</v>
      </c>
      <c r="AG166" s="392">
        <f t="shared" si="75"/>
        <v>0</v>
      </c>
      <c r="AH166" s="392">
        <f t="shared" si="76"/>
        <v>0</v>
      </c>
      <c r="AI166" s="392">
        <f t="shared" si="77"/>
        <v>0</v>
      </c>
      <c r="AJ166" s="393">
        <f t="shared" si="78"/>
        <v>0</v>
      </c>
      <c r="AK166" s="391">
        <f t="shared" si="79"/>
        <v>0</v>
      </c>
      <c r="AL166" s="391">
        <f t="shared" si="80"/>
        <v>0</v>
      </c>
      <c r="AM166" s="391">
        <f t="shared" si="81"/>
        <v>0</v>
      </c>
      <c r="AN166" s="391">
        <f t="shared" si="82"/>
        <v>0</v>
      </c>
      <c r="AO166" s="403">
        <f t="shared" si="83"/>
        <v>0</v>
      </c>
      <c r="AP166" s="405"/>
      <c r="AQ166" s="390" t="e">
        <f t="shared" si="84"/>
        <v>#N/A</v>
      </c>
      <c r="AR166" s="408">
        <f t="shared" si="85"/>
        <v>0</v>
      </c>
      <c r="AS166" s="409" t="str">
        <f t="shared" si="70"/>
        <v/>
      </c>
      <c r="AT166" s="416"/>
    </row>
    <row r="167" spans="1:46" ht="15" x14ac:dyDescent="0.25">
      <c r="A167" s="592">
        <v>164</v>
      </c>
      <c r="B167" s="604"/>
      <c r="C167" s="302"/>
      <c r="D167" s="304"/>
      <c r="E167" s="306"/>
      <c r="F167" s="698"/>
      <c r="G167" s="304"/>
      <c r="H167" s="304"/>
      <c r="I167" s="304"/>
      <c r="J167" s="304"/>
      <c r="K167" s="307"/>
      <c r="L167" s="590" t="str">
        <f t="shared" si="69"/>
        <v/>
      </c>
      <c r="M167" s="416"/>
      <c r="N167" s="405"/>
      <c r="O167" s="468" t="str">
        <f t="shared" si="86"/>
        <v xml:space="preserve"> </v>
      </c>
      <c r="P167" s="468" t="str">
        <f t="shared" si="87"/>
        <v xml:space="preserve"> </v>
      </c>
      <c r="Q167" s="468" t="str">
        <f t="shared" si="88"/>
        <v xml:space="preserve"> </v>
      </c>
      <c r="R167" s="468" t="str">
        <f t="shared" si="89"/>
        <v xml:space="preserve"> </v>
      </c>
      <c r="S167" s="468" t="str">
        <f t="shared" si="90"/>
        <v xml:space="preserve"> </v>
      </c>
      <c r="T167" s="468" t="str">
        <f t="shared" si="91"/>
        <v xml:space="preserve"> </v>
      </c>
      <c r="U167" s="405"/>
      <c r="V167" s="405"/>
      <c r="W167" s="405"/>
      <c r="X167" s="405"/>
      <c r="Y167" s="405"/>
      <c r="Z167" s="405"/>
      <c r="AA167" s="405"/>
      <c r="AB167" s="405"/>
      <c r="AC167" s="389" t="e">
        <f t="shared" si="71"/>
        <v>#N/A</v>
      </c>
      <c r="AD167" s="390">
        <f t="shared" si="72"/>
        <v>0</v>
      </c>
      <c r="AE167" s="390">
        <f t="shared" si="73"/>
        <v>0</v>
      </c>
      <c r="AF167" s="391">
        <f t="shared" si="74"/>
        <v>0</v>
      </c>
      <c r="AG167" s="392">
        <f t="shared" si="75"/>
        <v>0</v>
      </c>
      <c r="AH167" s="392">
        <f t="shared" si="76"/>
        <v>0</v>
      </c>
      <c r="AI167" s="392">
        <f t="shared" si="77"/>
        <v>0</v>
      </c>
      <c r="AJ167" s="393">
        <f t="shared" si="78"/>
        <v>0</v>
      </c>
      <c r="AK167" s="391">
        <f t="shared" si="79"/>
        <v>0</v>
      </c>
      <c r="AL167" s="391">
        <f t="shared" si="80"/>
        <v>0</v>
      </c>
      <c r="AM167" s="391">
        <f t="shared" si="81"/>
        <v>0</v>
      </c>
      <c r="AN167" s="391">
        <f t="shared" si="82"/>
        <v>0</v>
      </c>
      <c r="AO167" s="403">
        <f t="shared" si="83"/>
        <v>0</v>
      </c>
      <c r="AP167" s="405"/>
      <c r="AQ167" s="390" t="e">
        <f t="shared" si="84"/>
        <v>#N/A</v>
      </c>
      <c r="AR167" s="408">
        <f t="shared" si="85"/>
        <v>0</v>
      </c>
      <c r="AS167" s="409" t="str">
        <f t="shared" si="70"/>
        <v/>
      </c>
      <c r="AT167" s="416"/>
    </row>
    <row r="168" spans="1:46" ht="15" x14ac:dyDescent="0.25">
      <c r="A168" s="592">
        <v>165</v>
      </c>
      <c r="B168" s="604"/>
      <c r="C168" s="302"/>
      <c r="D168" s="304"/>
      <c r="E168" s="306"/>
      <c r="F168" s="698"/>
      <c r="G168" s="304"/>
      <c r="H168" s="304"/>
      <c r="I168" s="304"/>
      <c r="J168" s="304"/>
      <c r="K168" s="307"/>
      <c r="L168" s="590" t="str">
        <f t="shared" si="69"/>
        <v/>
      </c>
      <c r="M168" s="416"/>
      <c r="N168" s="405"/>
      <c r="O168" s="468" t="str">
        <f t="shared" si="86"/>
        <v xml:space="preserve"> </v>
      </c>
      <c r="P168" s="468" t="str">
        <f t="shared" si="87"/>
        <v xml:space="preserve"> </v>
      </c>
      <c r="Q168" s="468" t="str">
        <f t="shared" si="88"/>
        <v xml:space="preserve"> </v>
      </c>
      <c r="R168" s="468" t="str">
        <f t="shared" si="89"/>
        <v xml:space="preserve"> </v>
      </c>
      <c r="S168" s="468" t="str">
        <f t="shared" si="90"/>
        <v xml:space="preserve"> </v>
      </c>
      <c r="T168" s="468" t="str">
        <f t="shared" si="91"/>
        <v xml:space="preserve"> </v>
      </c>
      <c r="U168" s="405"/>
      <c r="V168" s="405"/>
      <c r="W168" s="405"/>
      <c r="X168" s="405"/>
      <c r="Y168" s="405"/>
      <c r="Z168" s="405"/>
      <c r="AA168" s="405"/>
      <c r="AB168" s="405"/>
      <c r="AC168" s="389" t="e">
        <f t="shared" si="71"/>
        <v>#N/A</v>
      </c>
      <c r="AD168" s="390">
        <f t="shared" si="72"/>
        <v>0</v>
      </c>
      <c r="AE168" s="390">
        <f t="shared" si="73"/>
        <v>0</v>
      </c>
      <c r="AF168" s="391">
        <f t="shared" si="74"/>
        <v>0</v>
      </c>
      <c r="AG168" s="392">
        <f t="shared" si="75"/>
        <v>0</v>
      </c>
      <c r="AH168" s="392">
        <f t="shared" si="76"/>
        <v>0</v>
      </c>
      <c r="AI168" s="392">
        <f t="shared" si="77"/>
        <v>0</v>
      </c>
      <c r="AJ168" s="393">
        <f t="shared" si="78"/>
        <v>0</v>
      </c>
      <c r="AK168" s="391">
        <f t="shared" si="79"/>
        <v>0</v>
      </c>
      <c r="AL168" s="391">
        <f t="shared" si="80"/>
        <v>0</v>
      </c>
      <c r="AM168" s="391">
        <f t="shared" si="81"/>
        <v>0</v>
      </c>
      <c r="AN168" s="391">
        <f t="shared" si="82"/>
        <v>0</v>
      </c>
      <c r="AO168" s="403">
        <f t="shared" si="83"/>
        <v>0</v>
      </c>
      <c r="AP168" s="405"/>
      <c r="AQ168" s="390" t="e">
        <f t="shared" si="84"/>
        <v>#N/A</v>
      </c>
      <c r="AR168" s="408">
        <f t="shared" si="85"/>
        <v>0</v>
      </c>
      <c r="AS168" s="409" t="str">
        <f t="shared" si="70"/>
        <v/>
      </c>
      <c r="AT168" s="416"/>
    </row>
    <row r="169" spans="1:46" ht="15" x14ac:dyDescent="0.25">
      <c r="A169" s="592">
        <v>166</v>
      </c>
      <c r="B169" s="604"/>
      <c r="C169" s="302"/>
      <c r="D169" s="304"/>
      <c r="E169" s="306"/>
      <c r="F169" s="698"/>
      <c r="G169" s="304"/>
      <c r="H169" s="304"/>
      <c r="I169" s="304"/>
      <c r="J169" s="304"/>
      <c r="K169" s="307"/>
      <c r="L169" s="590" t="str">
        <f t="shared" si="69"/>
        <v/>
      </c>
      <c r="M169" s="416"/>
      <c r="N169" s="405"/>
      <c r="O169" s="468" t="str">
        <f t="shared" si="86"/>
        <v xml:space="preserve"> </v>
      </c>
      <c r="P169" s="468" t="str">
        <f t="shared" si="87"/>
        <v xml:space="preserve"> </v>
      </c>
      <c r="Q169" s="468" t="str">
        <f t="shared" si="88"/>
        <v xml:space="preserve"> </v>
      </c>
      <c r="R169" s="468" t="str">
        <f t="shared" si="89"/>
        <v xml:space="preserve"> </v>
      </c>
      <c r="S169" s="468" t="str">
        <f t="shared" si="90"/>
        <v xml:space="preserve"> </v>
      </c>
      <c r="T169" s="468" t="str">
        <f t="shared" si="91"/>
        <v xml:space="preserve"> </v>
      </c>
      <c r="U169" s="405"/>
      <c r="V169" s="405"/>
      <c r="W169" s="405"/>
      <c r="X169" s="405"/>
      <c r="Y169" s="405"/>
      <c r="Z169" s="405"/>
      <c r="AA169" s="405"/>
      <c r="AB169" s="405"/>
      <c r="AC169" s="389" t="e">
        <f t="shared" si="71"/>
        <v>#N/A</v>
      </c>
      <c r="AD169" s="390">
        <f t="shared" si="72"/>
        <v>0</v>
      </c>
      <c r="AE169" s="390">
        <f t="shared" si="73"/>
        <v>0</v>
      </c>
      <c r="AF169" s="391">
        <f t="shared" si="74"/>
        <v>0</v>
      </c>
      <c r="AG169" s="392">
        <f t="shared" si="75"/>
        <v>0</v>
      </c>
      <c r="AH169" s="392">
        <f t="shared" si="76"/>
        <v>0</v>
      </c>
      <c r="AI169" s="392">
        <f t="shared" si="77"/>
        <v>0</v>
      </c>
      <c r="AJ169" s="393">
        <f t="shared" si="78"/>
        <v>0</v>
      </c>
      <c r="AK169" s="391">
        <f t="shared" si="79"/>
        <v>0</v>
      </c>
      <c r="AL169" s="391">
        <f t="shared" si="80"/>
        <v>0</v>
      </c>
      <c r="AM169" s="391">
        <f t="shared" si="81"/>
        <v>0</v>
      </c>
      <c r="AN169" s="391">
        <f t="shared" si="82"/>
        <v>0</v>
      </c>
      <c r="AO169" s="403">
        <f t="shared" si="83"/>
        <v>0</v>
      </c>
      <c r="AP169" s="405"/>
      <c r="AQ169" s="390" t="e">
        <f t="shared" si="84"/>
        <v>#N/A</v>
      </c>
      <c r="AR169" s="408">
        <f t="shared" si="85"/>
        <v>0</v>
      </c>
      <c r="AS169" s="409" t="str">
        <f t="shared" si="70"/>
        <v/>
      </c>
      <c r="AT169" s="416"/>
    </row>
    <row r="170" spans="1:46" ht="15" x14ac:dyDescent="0.25">
      <c r="A170" s="592">
        <v>167</v>
      </c>
      <c r="B170" s="604"/>
      <c r="C170" s="302"/>
      <c r="D170" s="304"/>
      <c r="E170" s="306"/>
      <c r="F170" s="698"/>
      <c r="G170" s="304"/>
      <c r="H170" s="304"/>
      <c r="I170" s="304"/>
      <c r="J170" s="304"/>
      <c r="K170" s="307"/>
      <c r="L170" s="590" t="str">
        <f t="shared" si="69"/>
        <v/>
      </c>
      <c r="M170" s="416"/>
      <c r="N170" s="405"/>
      <c r="O170" s="468" t="str">
        <f t="shared" si="86"/>
        <v xml:space="preserve"> </v>
      </c>
      <c r="P170" s="468" t="str">
        <f t="shared" si="87"/>
        <v xml:space="preserve"> </v>
      </c>
      <c r="Q170" s="468" t="str">
        <f t="shared" si="88"/>
        <v xml:space="preserve"> </v>
      </c>
      <c r="R170" s="468" t="str">
        <f t="shared" si="89"/>
        <v xml:space="preserve"> </v>
      </c>
      <c r="S170" s="468" t="str">
        <f t="shared" si="90"/>
        <v xml:space="preserve"> </v>
      </c>
      <c r="T170" s="468" t="str">
        <f t="shared" si="91"/>
        <v xml:space="preserve"> </v>
      </c>
      <c r="U170" s="405"/>
      <c r="V170" s="405"/>
      <c r="W170" s="405"/>
      <c r="X170" s="405"/>
      <c r="Y170" s="405"/>
      <c r="Z170" s="405"/>
      <c r="AA170" s="405"/>
      <c r="AB170" s="405"/>
      <c r="AC170" s="389" t="e">
        <f t="shared" si="71"/>
        <v>#N/A</v>
      </c>
      <c r="AD170" s="390">
        <f t="shared" si="72"/>
        <v>0</v>
      </c>
      <c r="AE170" s="390">
        <f t="shared" si="73"/>
        <v>0</v>
      </c>
      <c r="AF170" s="391">
        <f t="shared" si="74"/>
        <v>0</v>
      </c>
      <c r="AG170" s="392">
        <f t="shared" si="75"/>
        <v>0</v>
      </c>
      <c r="AH170" s="392">
        <f t="shared" si="76"/>
        <v>0</v>
      </c>
      <c r="AI170" s="392">
        <f t="shared" si="77"/>
        <v>0</v>
      </c>
      <c r="AJ170" s="393">
        <f t="shared" si="78"/>
        <v>0</v>
      </c>
      <c r="AK170" s="391">
        <f t="shared" si="79"/>
        <v>0</v>
      </c>
      <c r="AL170" s="391">
        <f t="shared" si="80"/>
        <v>0</v>
      </c>
      <c r="AM170" s="391">
        <f t="shared" si="81"/>
        <v>0</v>
      </c>
      <c r="AN170" s="391">
        <f t="shared" si="82"/>
        <v>0</v>
      </c>
      <c r="AO170" s="403">
        <f t="shared" si="83"/>
        <v>0</v>
      </c>
      <c r="AP170" s="405"/>
      <c r="AQ170" s="390" t="e">
        <f t="shared" si="84"/>
        <v>#N/A</v>
      </c>
      <c r="AR170" s="408">
        <f t="shared" si="85"/>
        <v>0</v>
      </c>
      <c r="AS170" s="409" t="str">
        <f t="shared" si="70"/>
        <v/>
      </c>
      <c r="AT170" s="416"/>
    </row>
    <row r="171" spans="1:46" ht="15" x14ac:dyDescent="0.25">
      <c r="A171" s="592">
        <v>168</v>
      </c>
      <c r="B171" s="604"/>
      <c r="C171" s="302"/>
      <c r="D171" s="304"/>
      <c r="E171" s="306"/>
      <c r="F171" s="698"/>
      <c r="G171" s="304"/>
      <c r="H171" s="304"/>
      <c r="I171" s="304"/>
      <c r="J171" s="304"/>
      <c r="K171" s="307"/>
      <c r="L171" s="590" t="str">
        <f t="shared" si="69"/>
        <v/>
      </c>
      <c r="M171" s="416"/>
      <c r="N171" s="405"/>
      <c r="O171" s="468" t="str">
        <f t="shared" si="86"/>
        <v xml:space="preserve"> </v>
      </c>
      <c r="P171" s="468" t="str">
        <f t="shared" si="87"/>
        <v xml:space="preserve"> </v>
      </c>
      <c r="Q171" s="468" t="str">
        <f t="shared" si="88"/>
        <v xml:space="preserve"> </v>
      </c>
      <c r="R171" s="468" t="str">
        <f t="shared" si="89"/>
        <v xml:space="preserve"> </v>
      </c>
      <c r="S171" s="468" t="str">
        <f t="shared" si="90"/>
        <v xml:space="preserve"> </v>
      </c>
      <c r="T171" s="468" t="str">
        <f t="shared" si="91"/>
        <v xml:space="preserve"> </v>
      </c>
      <c r="U171" s="405"/>
      <c r="V171" s="405"/>
      <c r="W171" s="405"/>
      <c r="X171" s="405"/>
      <c r="Y171" s="405"/>
      <c r="Z171" s="405"/>
      <c r="AA171" s="405"/>
      <c r="AB171" s="405"/>
      <c r="AC171" s="389" t="e">
        <f t="shared" si="71"/>
        <v>#N/A</v>
      </c>
      <c r="AD171" s="390">
        <f t="shared" si="72"/>
        <v>0</v>
      </c>
      <c r="AE171" s="390">
        <f t="shared" si="73"/>
        <v>0</v>
      </c>
      <c r="AF171" s="391">
        <f t="shared" si="74"/>
        <v>0</v>
      </c>
      <c r="AG171" s="392">
        <f t="shared" si="75"/>
        <v>0</v>
      </c>
      <c r="AH171" s="392">
        <f t="shared" si="76"/>
        <v>0</v>
      </c>
      <c r="AI171" s="392">
        <f t="shared" si="77"/>
        <v>0</v>
      </c>
      <c r="AJ171" s="393">
        <f t="shared" si="78"/>
        <v>0</v>
      </c>
      <c r="AK171" s="391">
        <f t="shared" si="79"/>
        <v>0</v>
      </c>
      <c r="AL171" s="391">
        <f t="shared" si="80"/>
        <v>0</v>
      </c>
      <c r="AM171" s="391">
        <f t="shared" si="81"/>
        <v>0</v>
      </c>
      <c r="AN171" s="391">
        <f t="shared" si="82"/>
        <v>0</v>
      </c>
      <c r="AO171" s="403">
        <f t="shared" si="83"/>
        <v>0</v>
      </c>
      <c r="AP171" s="405"/>
      <c r="AQ171" s="390" t="e">
        <f t="shared" si="84"/>
        <v>#N/A</v>
      </c>
      <c r="AR171" s="408">
        <f t="shared" si="85"/>
        <v>0</v>
      </c>
      <c r="AS171" s="409" t="str">
        <f t="shared" si="70"/>
        <v/>
      </c>
      <c r="AT171" s="416"/>
    </row>
    <row r="172" spans="1:46" ht="15" x14ac:dyDescent="0.25">
      <c r="A172" s="592">
        <v>169</v>
      </c>
      <c r="B172" s="604"/>
      <c r="C172" s="302"/>
      <c r="D172" s="304"/>
      <c r="E172" s="306"/>
      <c r="F172" s="698"/>
      <c r="G172" s="304"/>
      <c r="H172" s="304"/>
      <c r="I172" s="304"/>
      <c r="J172" s="304"/>
      <c r="K172" s="307"/>
      <c r="L172" s="590" t="str">
        <f t="shared" si="69"/>
        <v/>
      </c>
      <c r="M172" s="416"/>
      <c r="N172" s="405"/>
      <c r="O172" s="468" t="str">
        <f t="shared" si="86"/>
        <v xml:space="preserve"> </v>
      </c>
      <c r="P172" s="468" t="str">
        <f t="shared" si="87"/>
        <v xml:space="preserve"> </v>
      </c>
      <c r="Q172" s="468" t="str">
        <f t="shared" si="88"/>
        <v xml:space="preserve"> </v>
      </c>
      <c r="R172" s="468" t="str">
        <f t="shared" si="89"/>
        <v xml:space="preserve"> </v>
      </c>
      <c r="S172" s="468" t="str">
        <f t="shared" si="90"/>
        <v xml:space="preserve"> </v>
      </c>
      <c r="T172" s="468" t="str">
        <f t="shared" si="91"/>
        <v xml:space="preserve"> </v>
      </c>
      <c r="U172" s="405"/>
      <c r="V172" s="405"/>
      <c r="W172" s="405"/>
      <c r="X172" s="405"/>
      <c r="Y172" s="405"/>
      <c r="Z172" s="405"/>
      <c r="AA172" s="405"/>
      <c r="AB172" s="405"/>
      <c r="AC172" s="389" t="e">
        <f t="shared" si="71"/>
        <v>#N/A</v>
      </c>
      <c r="AD172" s="390">
        <f t="shared" si="72"/>
        <v>0</v>
      </c>
      <c r="AE172" s="390">
        <f t="shared" si="73"/>
        <v>0</v>
      </c>
      <c r="AF172" s="391">
        <f t="shared" si="74"/>
        <v>0</v>
      </c>
      <c r="AG172" s="392">
        <f t="shared" si="75"/>
        <v>0</v>
      </c>
      <c r="AH172" s="392">
        <f t="shared" si="76"/>
        <v>0</v>
      </c>
      <c r="AI172" s="392">
        <f t="shared" si="77"/>
        <v>0</v>
      </c>
      <c r="AJ172" s="393">
        <f t="shared" si="78"/>
        <v>0</v>
      </c>
      <c r="AK172" s="391">
        <f t="shared" si="79"/>
        <v>0</v>
      </c>
      <c r="AL172" s="391">
        <f t="shared" si="80"/>
        <v>0</v>
      </c>
      <c r="AM172" s="391">
        <f t="shared" si="81"/>
        <v>0</v>
      </c>
      <c r="AN172" s="391">
        <f t="shared" si="82"/>
        <v>0</v>
      </c>
      <c r="AO172" s="403">
        <f t="shared" si="83"/>
        <v>0</v>
      </c>
      <c r="AP172" s="405"/>
      <c r="AQ172" s="390" t="e">
        <f t="shared" si="84"/>
        <v>#N/A</v>
      </c>
      <c r="AR172" s="408">
        <f t="shared" si="85"/>
        <v>0</v>
      </c>
      <c r="AS172" s="409" t="str">
        <f t="shared" si="70"/>
        <v/>
      </c>
      <c r="AT172" s="416"/>
    </row>
    <row r="173" spans="1:46" ht="15" x14ac:dyDescent="0.25">
      <c r="A173" s="592">
        <v>170</v>
      </c>
      <c r="B173" s="604"/>
      <c r="C173" s="302"/>
      <c r="D173" s="304"/>
      <c r="E173" s="306"/>
      <c r="F173" s="698"/>
      <c r="G173" s="304"/>
      <c r="H173" s="304"/>
      <c r="I173" s="304"/>
      <c r="J173" s="304"/>
      <c r="K173" s="307"/>
      <c r="L173" s="590" t="str">
        <f t="shared" si="69"/>
        <v/>
      </c>
      <c r="M173" s="416"/>
      <c r="N173" s="405"/>
      <c r="O173" s="468" t="str">
        <f t="shared" si="86"/>
        <v xml:space="preserve"> </v>
      </c>
      <c r="P173" s="468" t="str">
        <f t="shared" si="87"/>
        <v xml:space="preserve"> </v>
      </c>
      <c r="Q173" s="468" t="str">
        <f t="shared" si="88"/>
        <v xml:space="preserve"> </v>
      </c>
      <c r="R173" s="468" t="str">
        <f t="shared" si="89"/>
        <v xml:space="preserve"> </v>
      </c>
      <c r="S173" s="468" t="str">
        <f t="shared" si="90"/>
        <v xml:space="preserve"> </v>
      </c>
      <c r="T173" s="468" t="str">
        <f t="shared" si="91"/>
        <v xml:space="preserve"> </v>
      </c>
      <c r="U173" s="405"/>
      <c r="V173" s="405"/>
      <c r="W173" s="405"/>
      <c r="X173" s="405"/>
      <c r="Y173" s="405"/>
      <c r="Z173" s="405"/>
      <c r="AA173" s="405"/>
      <c r="AB173" s="405"/>
      <c r="AC173" s="389" t="e">
        <f t="shared" si="71"/>
        <v>#N/A</v>
      </c>
      <c r="AD173" s="390">
        <f t="shared" si="72"/>
        <v>0</v>
      </c>
      <c r="AE173" s="390">
        <f t="shared" si="73"/>
        <v>0</v>
      </c>
      <c r="AF173" s="391">
        <f t="shared" si="74"/>
        <v>0</v>
      </c>
      <c r="AG173" s="392">
        <f t="shared" si="75"/>
        <v>0</v>
      </c>
      <c r="AH173" s="392">
        <f t="shared" si="76"/>
        <v>0</v>
      </c>
      <c r="AI173" s="392">
        <f t="shared" si="77"/>
        <v>0</v>
      </c>
      <c r="AJ173" s="393">
        <f t="shared" si="78"/>
        <v>0</v>
      </c>
      <c r="AK173" s="391">
        <f t="shared" si="79"/>
        <v>0</v>
      </c>
      <c r="AL173" s="391">
        <f t="shared" si="80"/>
        <v>0</v>
      </c>
      <c r="AM173" s="391">
        <f t="shared" si="81"/>
        <v>0</v>
      </c>
      <c r="AN173" s="391">
        <f t="shared" si="82"/>
        <v>0</v>
      </c>
      <c r="AO173" s="403">
        <f t="shared" si="83"/>
        <v>0</v>
      </c>
      <c r="AP173" s="405"/>
      <c r="AQ173" s="390" t="e">
        <f t="shared" si="84"/>
        <v>#N/A</v>
      </c>
      <c r="AR173" s="408">
        <f t="shared" si="85"/>
        <v>0</v>
      </c>
      <c r="AS173" s="409" t="str">
        <f t="shared" si="70"/>
        <v/>
      </c>
      <c r="AT173" s="416"/>
    </row>
    <row r="174" spans="1:46" ht="15" x14ac:dyDescent="0.25">
      <c r="A174" s="592">
        <v>171</v>
      </c>
      <c r="B174" s="604"/>
      <c r="C174" s="302"/>
      <c r="D174" s="304"/>
      <c r="E174" s="306"/>
      <c r="F174" s="698"/>
      <c r="G174" s="304"/>
      <c r="H174" s="304"/>
      <c r="I174" s="304"/>
      <c r="J174" s="304"/>
      <c r="K174" s="307"/>
      <c r="L174" s="590" t="str">
        <f t="shared" si="69"/>
        <v/>
      </c>
      <c r="M174" s="416"/>
      <c r="N174" s="405"/>
      <c r="O174" s="468" t="str">
        <f t="shared" si="86"/>
        <v xml:space="preserve"> </v>
      </c>
      <c r="P174" s="468" t="str">
        <f t="shared" si="87"/>
        <v xml:space="preserve"> </v>
      </c>
      <c r="Q174" s="468" t="str">
        <f t="shared" si="88"/>
        <v xml:space="preserve"> </v>
      </c>
      <c r="R174" s="468" t="str">
        <f t="shared" si="89"/>
        <v xml:space="preserve"> </v>
      </c>
      <c r="S174" s="468" t="str">
        <f t="shared" si="90"/>
        <v xml:space="preserve"> </v>
      </c>
      <c r="T174" s="468" t="str">
        <f t="shared" si="91"/>
        <v xml:space="preserve"> </v>
      </c>
      <c r="U174" s="405"/>
      <c r="V174" s="405"/>
      <c r="W174" s="405"/>
      <c r="X174" s="405"/>
      <c r="Y174" s="405"/>
      <c r="Z174" s="405"/>
      <c r="AA174" s="405"/>
      <c r="AB174" s="405"/>
      <c r="AC174" s="389" t="e">
        <f t="shared" si="71"/>
        <v>#N/A</v>
      </c>
      <c r="AD174" s="390">
        <f t="shared" si="72"/>
        <v>0</v>
      </c>
      <c r="AE174" s="390">
        <f t="shared" si="73"/>
        <v>0</v>
      </c>
      <c r="AF174" s="391">
        <f t="shared" si="74"/>
        <v>0</v>
      </c>
      <c r="AG174" s="392">
        <f t="shared" si="75"/>
        <v>0</v>
      </c>
      <c r="AH174" s="392">
        <f t="shared" si="76"/>
        <v>0</v>
      </c>
      <c r="AI174" s="392">
        <f t="shared" si="77"/>
        <v>0</v>
      </c>
      <c r="AJ174" s="393">
        <f t="shared" si="78"/>
        <v>0</v>
      </c>
      <c r="AK174" s="391">
        <f t="shared" si="79"/>
        <v>0</v>
      </c>
      <c r="AL174" s="391">
        <f t="shared" si="80"/>
        <v>0</v>
      </c>
      <c r="AM174" s="391">
        <f t="shared" si="81"/>
        <v>0</v>
      </c>
      <c r="AN174" s="391">
        <f t="shared" si="82"/>
        <v>0</v>
      </c>
      <c r="AO174" s="403">
        <f t="shared" si="83"/>
        <v>0</v>
      </c>
      <c r="AP174" s="405"/>
      <c r="AQ174" s="390" t="e">
        <f t="shared" si="84"/>
        <v>#N/A</v>
      </c>
      <c r="AR174" s="408">
        <f t="shared" si="85"/>
        <v>0</v>
      </c>
      <c r="AS174" s="409" t="str">
        <f t="shared" si="70"/>
        <v/>
      </c>
      <c r="AT174" s="416"/>
    </row>
    <row r="175" spans="1:46" ht="15" x14ac:dyDescent="0.25">
      <c r="A175" s="592">
        <v>172</v>
      </c>
      <c r="B175" s="604"/>
      <c r="C175" s="302"/>
      <c r="D175" s="304"/>
      <c r="E175" s="306"/>
      <c r="F175" s="698"/>
      <c r="G175" s="304"/>
      <c r="H175" s="304"/>
      <c r="I175" s="304"/>
      <c r="J175" s="304"/>
      <c r="K175" s="307"/>
      <c r="L175" s="590" t="str">
        <f t="shared" si="69"/>
        <v/>
      </c>
      <c r="M175" s="416"/>
      <c r="N175" s="405"/>
      <c r="O175" s="468" t="str">
        <f t="shared" si="86"/>
        <v xml:space="preserve"> </v>
      </c>
      <c r="P175" s="468" t="str">
        <f t="shared" si="87"/>
        <v xml:space="preserve"> </v>
      </c>
      <c r="Q175" s="468" t="str">
        <f t="shared" si="88"/>
        <v xml:space="preserve"> </v>
      </c>
      <c r="R175" s="468" t="str">
        <f t="shared" si="89"/>
        <v xml:space="preserve"> </v>
      </c>
      <c r="S175" s="468" t="str">
        <f t="shared" si="90"/>
        <v xml:space="preserve"> </v>
      </c>
      <c r="T175" s="468" t="str">
        <f t="shared" si="91"/>
        <v xml:space="preserve"> </v>
      </c>
      <c r="U175" s="405"/>
      <c r="V175" s="405"/>
      <c r="W175" s="405"/>
      <c r="X175" s="405"/>
      <c r="Y175" s="405"/>
      <c r="Z175" s="405"/>
      <c r="AA175" s="405"/>
      <c r="AB175" s="405"/>
      <c r="AC175" s="389" t="e">
        <f t="shared" si="71"/>
        <v>#N/A</v>
      </c>
      <c r="AD175" s="390">
        <f t="shared" si="72"/>
        <v>0</v>
      </c>
      <c r="AE175" s="390">
        <f t="shared" si="73"/>
        <v>0</v>
      </c>
      <c r="AF175" s="391">
        <f t="shared" si="74"/>
        <v>0</v>
      </c>
      <c r="AG175" s="392">
        <f t="shared" si="75"/>
        <v>0</v>
      </c>
      <c r="AH175" s="392">
        <f t="shared" si="76"/>
        <v>0</v>
      </c>
      <c r="AI175" s="392">
        <f t="shared" si="77"/>
        <v>0</v>
      </c>
      <c r="AJ175" s="393">
        <f t="shared" si="78"/>
        <v>0</v>
      </c>
      <c r="AK175" s="391">
        <f t="shared" si="79"/>
        <v>0</v>
      </c>
      <c r="AL175" s="391">
        <f t="shared" si="80"/>
        <v>0</v>
      </c>
      <c r="AM175" s="391">
        <f t="shared" si="81"/>
        <v>0</v>
      </c>
      <c r="AN175" s="391">
        <f t="shared" si="82"/>
        <v>0</v>
      </c>
      <c r="AO175" s="403">
        <f t="shared" si="83"/>
        <v>0</v>
      </c>
      <c r="AP175" s="405"/>
      <c r="AQ175" s="390" t="e">
        <f t="shared" si="84"/>
        <v>#N/A</v>
      </c>
      <c r="AR175" s="408">
        <f t="shared" si="85"/>
        <v>0</v>
      </c>
      <c r="AS175" s="409" t="str">
        <f t="shared" si="70"/>
        <v/>
      </c>
      <c r="AT175" s="416"/>
    </row>
    <row r="176" spans="1:46" ht="15" x14ac:dyDescent="0.25">
      <c r="A176" s="592">
        <v>173</v>
      </c>
      <c r="B176" s="604"/>
      <c r="C176" s="302"/>
      <c r="D176" s="304"/>
      <c r="E176" s="306"/>
      <c r="F176" s="698"/>
      <c r="G176" s="304"/>
      <c r="H176" s="304"/>
      <c r="I176" s="304"/>
      <c r="J176" s="304"/>
      <c r="K176" s="307"/>
      <c r="L176" s="590" t="str">
        <f t="shared" si="69"/>
        <v/>
      </c>
      <c r="M176" s="416"/>
      <c r="N176" s="405"/>
      <c r="O176" s="468" t="str">
        <f t="shared" si="86"/>
        <v xml:space="preserve"> </v>
      </c>
      <c r="P176" s="468" t="str">
        <f t="shared" si="87"/>
        <v xml:space="preserve"> </v>
      </c>
      <c r="Q176" s="468" t="str">
        <f t="shared" si="88"/>
        <v xml:space="preserve"> </v>
      </c>
      <c r="R176" s="468" t="str">
        <f t="shared" si="89"/>
        <v xml:space="preserve"> </v>
      </c>
      <c r="S176" s="468" t="str">
        <f t="shared" si="90"/>
        <v xml:space="preserve"> </v>
      </c>
      <c r="T176" s="468" t="str">
        <f t="shared" si="91"/>
        <v xml:space="preserve"> </v>
      </c>
      <c r="U176" s="405"/>
      <c r="V176" s="405"/>
      <c r="W176" s="405"/>
      <c r="X176" s="405"/>
      <c r="Y176" s="405"/>
      <c r="Z176" s="405"/>
      <c r="AA176" s="405"/>
      <c r="AB176" s="405"/>
      <c r="AC176" s="389" t="e">
        <f t="shared" si="71"/>
        <v>#N/A</v>
      </c>
      <c r="AD176" s="390">
        <f t="shared" si="72"/>
        <v>0</v>
      </c>
      <c r="AE176" s="390">
        <f t="shared" si="73"/>
        <v>0</v>
      </c>
      <c r="AF176" s="391">
        <f t="shared" si="74"/>
        <v>0</v>
      </c>
      <c r="AG176" s="392">
        <f t="shared" si="75"/>
        <v>0</v>
      </c>
      <c r="AH176" s="392">
        <f t="shared" si="76"/>
        <v>0</v>
      </c>
      <c r="AI176" s="392">
        <f t="shared" si="77"/>
        <v>0</v>
      </c>
      <c r="AJ176" s="393">
        <f t="shared" si="78"/>
        <v>0</v>
      </c>
      <c r="AK176" s="391">
        <f t="shared" si="79"/>
        <v>0</v>
      </c>
      <c r="AL176" s="391">
        <f t="shared" si="80"/>
        <v>0</v>
      </c>
      <c r="AM176" s="391">
        <f t="shared" si="81"/>
        <v>0</v>
      </c>
      <c r="AN176" s="391">
        <f t="shared" si="82"/>
        <v>0</v>
      </c>
      <c r="AO176" s="403">
        <f t="shared" si="83"/>
        <v>0</v>
      </c>
      <c r="AP176" s="405"/>
      <c r="AQ176" s="390" t="e">
        <f t="shared" si="84"/>
        <v>#N/A</v>
      </c>
      <c r="AR176" s="408">
        <f t="shared" si="85"/>
        <v>0</v>
      </c>
      <c r="AS176" s="409" t="str">
        <f t="shared" si="70"/>
        <v/>
      </c>
      <c r="AT176" s="416"/>
    </row>
    <row r="177" spans="1:46" ht="15" x14ac:dyDescent="0.25">
      <c r="A177" s="592">
        <v>174</v>
      </c>
      <c r="B177" s="604"/>
      <c r="C177" s="302"/>
      <c r="D177" s="304"/>
      <c r="E177" s="306"/>
      <c r="F177" s="698"/>
      <c r="G177" s="304"/>
      <c r="H177" s="304"/>
      <c r="I177" s="304"/>
      <c r="J177" s="304"/>
      <c r="K177" s="307"/>
      <c r="L177" s="590" t="str">
        <f t="shared" si="69"/>
        <v/>
      </c>
      <c r="M177" s="416"/>
      <c r="N177" s="405"/>
      <c r="O177" s="468" t="str">
        <f t="shared" si="86"/>
        <v xml:space="preserve"> </v>
      </c>
      <c r="P177" s="468" t="str">
        <f t="shared" si="87"/>
        <v xml:space="preserve"> </v>
      </c>
      <c r="Q177" s="468" t="str">
        <f t="shared" si="88"/>
        <v xml:space="preserve"> </v>
      </c>
      <c r="R177" s="468" t="str">
        <f t="shared" si="89"/>
        <v xml:space="preserve"> </v>
      </c>
      <c r="S177" s="468" t="str">
        <f t="shared" si="90"/>
        <v xml:space="preserve"> </v>
      </c>
      <c r="T177" s="468" t="str">
        <f t="shared" si="91"/>
        <v xml:space="preserve"> </v>
      </c>
      <c r="U177" s="405"/>
      <c r="V177" s="405"/>
      <c r="W177" s="405"/>
      <c r="X177" s="405"/>
      <c r="Y177" s="405"/>
      <c r="Z177" s="405"/>
      <c r="AA177" s="405"/>
      <c r="AB177" s="405"/>
      <c r="AC177" s="389" t="e">
        <f t="shared" si="71"/>
        <v>#N/A</v>
      </c>
      <c r="AD177" s="390">
        <f t="shared" si="72"/>
        <v>0</v>
      </c>
      <c r="AE177" s="390">
        <f t="shared" si="73"/>
        <v>0</v>
      </c>
      <c r="AF177" s="391">
        <f t="shared" si="74"/>
        <v>0</v>
      </c>
      <c r="AG177" s="392">
        <f t="shared" si="75"/>
        <v>0</v>
      </c>
      <c r="AH177" s="392">
        <f t="shared" si="76"/>
        <v>0</v>
      </c>
      <c r="AI177" s="392">
        <f t="shared" si="77"/>
        <v>0</v>
      </c>
      <c r="AJ177" s="393">
        <f t="shared" si="78"/>
        <v>0</v>
      </c>
      <c r="AK177" s="391">
        <f t="shared" si="79"/>
        <v>0</v>
      </c>
      <c r="AL177" s="391">
        <f t="shared" si="80"/>
        <v>0</v>
      </c>
      <c r="AM177" s="391">
        <f t="shared" si="81"/>
        <v>0</v>
      </c>
      <c r="AN177" s="391">
        <f t="shared" si="82"/>
        <v>0</v>
      </c>
      <c r="AO177" s="403">
        <f t="shared" si="83"/>
        <v>0</v>
      </c>
      <c r="AP177" s="405"/>
      <c r="AQ177" s="390" t="e">
        <f t="shared" si="84"/>
        <v>#N/A</v>
      </c>
      <c r="AR177" s="408">
        <f t="shared" si="85"/>
        <v>0</v>
      </c>
      <c r="AS177" s="409" t="str">
        <f t="shared" si="70"/>
        <v/>
      </c>
      <c r="AT177" s="416"/>
    </row>
    <row r="178" spans="1:46" ht="15" x14ac:dyDescent="0.25">
      <c r="A178" s="592">
        <v>175</v>
      </c>
      <c r="B178" s="604"/>
      <c r="C178" s="302"/>
      <c r="D178" s="304"/>
      <c r="E178" s="306"/>
      <c r="F178" s="698"/>
      <c r="G178" s="304"/>
      <c r="H178" s="304"/>
      <c r="I178" s="304"/>
      <c r="J178" s="304"/>
      <c r="K178" s="307"/>
      <c r="L178" s="590" t="str">
        <f t="shared" si="69"/>
        <v/>
      </c>
      <c r="M178" s="416"/>
      <c r="N178" s="405"/>
      <c r="O178" s="468" t="str">
        <f t="shared" si="86"/>
        <v xml:space="preserve"> </v>
      </c>
      <c r="P178" s="468" t="str">
        <f t="shared" si="87"/>
        <v xml:space="preserve"> </v>
      </c>
      <c r="Q178" s="468" t="str">
        <f t="shared" si="88"/>
        <v xml:space="preserve"> </v>
      </c>
      <c r="R178" s="468" t="str">
        <f t="shared" si="89"/>
        <v xml:space="preserve"> </v>
      </c>
      <c r="S178" s="468" t="str">
        <f t="shared" si="90"/>
        <v xml:space="preserve"> </v>
      </c>
      <c r="T178" s="468" t="str">
        <f t="shared" si="91"/>
        <v xml:space="preserve"> </v>
      </c>
      <c r="U178" s="405"/>
      <c r="V178" s="405"/>
      <c r="W178" s="405"/>
      <c r="X178" s="405"/>
      <c r="Y178" s="405"/>
      <c r="Z178" s="405"/>
      <c r="AA178" s="405"/>
      <c r="AB178" s="405"/>
      <c r="AC178" s="389" t="e">
        <f t="shared" si="71"/>
        <v>#N/A</v>
      </c>
      <c r="AD178" s="390">
        <f t="shared" si="72"/>
        <v>0</v>
      </c>
      <c r="AE178" s="390">
        <f t="shared" si="73"/>
        <v>0</v>
      </c>
      <c r="AF178" s="391">
        <f t="shared" si="74"/>
        <v>0</v>
      </c>
      <c r="AG178" s="392">
        <f t="shared" si="75"/>
        <v>0</v>
      </c>
      <c r="AH178" s="392">
        <f t="shared" si="76"/>
        <v>0</v>
      </c>
      <c r="AI178" s="392">
        <f t="shared" si="77"/>
        <v>0</v>
      </c>
      <c r="AJ178" s="393">
        <f t="shared" si="78"/>
        <v>0</v>
      </c>
      <c r="AK178" s="391">
        <f t="shared" si="79"/>
        <v>0</v>
      </c>
      <c r="AL178" s="391">
        <f t="shared" si="80"/>
        <v>0</v>
      </c>
      <c r="AM178" s="391">
        <f t="shared" si="81"/>
        <v>0</v>
      </c>
      <c r="AN178" s="391">
        <f t="shared" si="82"/>
        <v>0</v>
      </c>
      <c r="AO178" s="403">
        <f t="shared" si="83"/>
        <v>0</v>
      </c>
      <c r="AP178" s="405"/>
      <c r="AQ178" s="390" t="e">
        <f t="shared" si="84"/>
        <v>#N/A</v>
      </c>
      <c r="AR178" s="408">
        <f t="shared" si="85"/>
        <v>0</v>
      </c>
      <c r="AS178" s="409" t="str">
        <f t="shared" si="70"/>
        <v/>
      </c>
      <c r="AT178" s="416"/>
    </row>
    <row r="179" spans="1:46" ht="15" x14ac:dyDescent="0.25">
      <c r="A179" s="592">
        <v>176</v>
      </c>
      <c r="B179" s="604"/>
      <c r="C179" s="302"/>
      <c r="D179" s="304"/>
      <c r="E179" s="306"/>
      <c r="F179" s="698"/>
      <c r="G179" s="304"/>
      <c r="H179" s="304"/>
      <c r="I179" s="304"/>
      <c r="J179" s="304"/>
      <c r="K179" s="307"/>
      <c r="L179" s="590" t="str">
        <f t="shared" si="69"/>
        <v/>
      </c>
      <c r="M179" s="416"/>
      <c r="N179" s="405"/>
      <c r="O179" s="468" t="str">
        <f t="shared" si="86"/>
        <v xml:space="preserve"> </v>
      </c>
      <c r="P179" s="468" t="str">
        <f t="shared" si="87"/>
        <v xml:space="preserve"> </v>
      </c>
      <c r="Q179" s="468" t="str">
        <f t="shared" si="88"/>
        <v xml:space="preserve"> </v>
      </c>
      <c r="R179" s="468" t="str">
        <f t="shared" si="89"/>
        <v xml:space="preserve"> </v>
      </c>
      <c r="S179" s="468" t="str">
        <f t="shared" si="90"/>
        <v xml:space="preserve"> </v>
      </c>
      <c r="T179" s="468" t="str">
        <f t="shared" si="91"/>
        <v xml:space="preserve"> </v>
      </c>
      <c r="U179" s="405"/>
      <c r="V179" s="405"/>
      <c r="W179" s="405"/>
      <c r="X179" s="405"/>
      <c r="Y179" s="405"/>
      <c r="Z179" s="405"/>
      <c r="AA179" s="405"/>
      <c r="AB179" s="405"/>
      <c r="AC179" s="389" t="e">
        <f t="shared" si="71"/>
        <v>#N/A</v>
      </c>
      <c r="AD179" s="390">
        <f t="shared" si="72"/>
        <v>0</v>
      </c>
      <c r="AE179" s="390">
        <f t="shared" si="73"/>
        <v>0</v>
      </c>
      <c r="AF179" s="391">
        <f t="shared" si="74"/>
        <v>0</v>
      </c>
      <c r="AG179" s="392">
        <f t="shared" si="75"/>
        <v>0</v>
      </c>
      <c r="AH179" s="392">
        <f t="shared" si="76"/>
        <v>0</v>
      </c>
      <c r="AI179" s="392">
        <f t="shared" si="77"/>
        <v>0</v>
      </c>
      <c r="AJ179" s="393">
        <f t="shared" si="78"/>
        <v>0</v>
      </c>
      <c r="AK179" s="391">
        <f t="shared" si="79"/>
        <v>0</v>
      </c>
      <c r="AL179" s="391">
        <f t="shared" si="80"/>
        <v>0</v>
      </c>
      <c r="AM179" s="391">
        <f t="shared" si="81"/>
        <v>0</v>
      </c>
      <c r="AN179" s="391">
        <f t="shared" si="82"/>
        <v>0</v>
      </c>
      <c r="AO179" s="403">
        <f t="shared" si="83"/>
        <v>0</v>
      </c>
      <c r="AP179" s="405"/>
      <c r="AQ179" s="390" t="e">
        <f t="shared" si="84"/>
        <v>#N/A</v>
      </c>
      <c r="AR179" s="408">
        <f t="shared" si="85"/>
        <v>0</v>
      </c>
      <c r="AS179" s="409" t="str">
        <f t="shared" si="70"/>
        <v/>
      </c>
      <c r="AT179" s="416"/>
    </row>
    <row r="180" spans="1:46" ht="15" x14ac:dyDescent="0.25">
      <c r="A180" s="592">
        <v>177</v>
      </c>
      <c r="B180" s="604"/>
      <c r="C180" s="302"/>
      <c r="D180" s="304"/>
      <c r="E180" s="306"/>
      <c r="F180" s="698"/>
      <c r="G180" s="304"/>
      <c r="H180" s="304"/>
      <c r="I180" s="304"/>
      <c r="J180" s="304"/>
      <c r="K180" s="307"/>
      <c r="L180" s="590" t="str">
        <f t="shared" si="69"/>
        <v/>
      </c>
      <c r="M180" s="416"/>
      <c r="N180" s="405"/>
      <c r="O180" s="468" t="str">
        <f t="shared" si="86"/>
        <v xml:space="preserve"> </v>
      </c>
      <c r="P180" s="468" t="str">
        <f t="shared" si="87"/>
        <v xml:space="preserve"> </v>
      </c>
      <c r="Q180" s="468" t="str">
        <f t="shared" si="88"/>
        <v xml:space="preserve"> </v>
      </c>
      <c r="R180" s="468" t="str">
        <f t="shared" si="89"/>
        <v xml:space="preserve"> </v>
      </c>
      <c r="S180" s="468" t="str">
        <f t="shared" si="90"/>
        <v xml:space="preserve"> </v>
      </c>
      <c r="T180" s="468" t="str">
        <f t="shared" si="91"/>
        <v xml:space="preserve"> </v>
      </c>
      <c r="U180" s="405"/>
      <c r="V180" s="405"/>
      <c r="W180" s="405"/>
      <c r="X180" s="405"/>
      <c r="Y180" s="405"/>
      <c r="Z180" s="405"/>
      <c r="AA180" s="405"/>
      <c r="AB180" s="405"/>
      <c r="AC180" s="389" t="e">
        <f t="shared" si="71"/>
        <v>#N/A</v>
      </c>
      <c r="AD180" s="390">
        <f t="shared" si="72"/>
        <v>0</v>
      </c>
      <c r="AE180" s="390">
        <f t="shared" si="73"/>
        <v>0</v>
      </c>
      <c r="AF180" s="391">
        <f t="shared" si="74"/>
        <v>0</v>
      </c>
      <c r="AG180" s="392">
        <f t="shared" si="75"/>
        <v>0</v>
      </c>
      <c r="AH180" s="392">
        <f t="shared" si="76"/>
        <v>0</v>
      </c>
      <c r="AI180" s="392">
        <f t="shared" si="77"/>
        <v>0</v>
      </c>
      <c r="AJ180" s="393">
        <f t="shared" si="78"/>
        <v>0</v>
      </c>
      <c r="AK180" s="391">
        <f t="shared" si="79"/>
        <v>0</v>
      </c>
      <c r="AL180" s="391">
        <f t="shared" si="80"/>
        <v>0</v>
      </c>
      <c r="AM180" s="391">
        <f t="shared" si="81"/>
        <v>0</v>
      </c>
      <c r="AN180" s="391">
        <f t="shared" si="82"/>
        <v>0</v>
      </c>
      <c r="AO180" s="403">
        <f t="shared" si="83"/>
        <v>0</v>
      </c>
      <c r="AP180" s="405"/>
      <c r="AQ180" s="390" t="e">
        <f t="shared" si="84"/>
        <v>#N/A</v>
      </c>
      <c r="AR180" s="408">
        <f t="shared" si="85"/>
        <v>0</v>
      </c>
      <c r="AS180" s="409" t="str">
        <f t="shared" si="70"/>
        <v/>
      </c>
      <c r="AT180" s="416"/>
    </row>
    <row r="181" spans="1:46" ht="15" x14ac:dyDescent="0.25">
      <c r="A181" s="592">
        <v>178</v>
      </c>
      <c r="B181" s="604"/>
      <c r="C181" s="302"/>
      <c r="D181" s="304"/>
      <c r="E181" s="306"/>
      <c r="F181" s="698"/>
      <c r="G181" s="304"/>
      <c r="H181" s="304"/>
      <c r="I181" s="304"/>
      <c r="J181" s="304"/>
      <c r="K181" s="307"/>
      <c r="L181" s="590" t="str">
        <f t="shared" si="69"/>
        <v/>
      </c>
      <c r="M181" s="416"/>
      <c r="N181" s="405"/>
      <c r="O181" s="468" t="str">
        <f t="shared" si="86"/>
        <v xml:space="preserve"> </v>
      </c>
      <c r="P181" s="468" t="str">
        <f t="shared" si="87"/>
        <v xml:space="preserve"> </v>
      </c>
      <c r="Q181" s="468" t="str">
        <f t="shared" si="88"/>
        <v xml:space="preserve"> </v>
      </c>
      <c r="R181" s="468" t="str">
        <f t="shared" si="89"/>
        <v xml:space="preserve"> </v>
      </c>
      <c r="S181" s="468" t="str">
        <f t="shared" si="90"/>
        <v xml:space="preserve"> </v>
      </c>
      <c r="T181" s="468" t="str">
        <f t="shared" si="91"/>
        <v xml:space="preserve"> </v>
      </c>
      <c r="U181" s="405"/>
      <c r="V181" s="405"/>
      <c r="W181" s="405"/>
      <c r="X181" s="405"/>
      <c r="Y181" s="405"/>
      <c r="Z181" s="405"/>
      <c r="AA181" s="405"/>
      <c r="AB181" s="405"/>
      <c r="AC181" s="389" t="e">
        <f t="shared" si="71"/>
        <v>#N/A</v>
      </c>
      <c r="AD181" s="390">
        <f t="shared" si="72"/>
        <v>0</v>
      </c>
      <c r="AE181" s="390">
        <f t="shared" si="73"/>
        <v>0</v>
      </c>
      <c r="AF181" s="391">
        <f t="shared" si="74"/>
        <v>0</v>
      </c>
      <c r="AG181" s="392">
        <f t="shared" si="75"/>
        <v>0</v>
      </c>
      <c r="AH181" s="392">
        <f t="shared" si="76"/>
        <v>0</v>
      </c>
      <c r="AI181" s="392">
        <f t="shared" si="77"/>
        <v>0</v>
      </c>
      <c r="AJ181" s="393">
        <f t="shared" si="78"/>
        <v>0</v>
      </c>
      <c r="AK181" s="391">
        <f t="shared" si="79"/>
        <v>0</v>
      </c>
      <c r="AL181" s="391">
        <f t="shared" si="80"/>
        <v>0</v>
      </c>
      <c r="AM181" s="391">
        <f t="shared" si="81"/>
        <v>0</v>
      </c>
      <c r="AN181" s="391">
        <f t="shared" si="82"/>
        <v>0</v>
      </c>
      <c r="AO181" s="403">
        <f t="shared" si="83"/>
        <v>0</v>
      </c>
      <c r="AP181" s="405"/>
      <c r="AQ181" s="390" t="e">
        <f t="shared" si="84"/>
        <v>#N/A</v>
      </c>
      <c r="AR181" s="408">
        <f t="shared" si="85"/>
        <v>0</v>
      </c>
      <c r="AS181" s="409" t="str">
        <f t="shared" si="70"/>
        <v/>
      </c>
      <c r="AT181" s="416"/>
    </row>
    <row r="182" spans="1:46" ht="15" x14ac:dyDescent="0.25">
      <c r="A182" s="592">
        <v>179</v>
      </c>
      <c r="B182" s="604"/>
      <c r="C182" s="302"/>
      <c r="D182" s="304"/>
      <c r="E182" s="306"/>
      <c r="F182" s="698"/>
      <c r="G182" s="304"/>
      <c r="H182" s="304"/>
      <c r="I182" s="304"/>
      <c r="J182" s="304"/>
      <c r="K182" s="307"/>
      <c r="L182" s="590" t="str">
        <f t="shared" si="69"/>
        <v/>
      </c>
      <c r="M182" s="416"/>
      <c r="N182" s="405"/>
      <c r="O182" s="468" t="str">
        <f t="shared" si="86"/>
        <v xml:space="preserve"> </v>
      </c>
      <c r="P182" s="468" t="str">
        <f t="shared" si="87"/>
        <v xml:space="preserve"> </v>
      </c>
      <c r="Q182" s="468" t="str">
        <f t="shared" si="88"/>
        <v xml:space="preserve"> </v>
      </c>
      <c r="R182" s="468" t="str">
        <f t="shared" si="89"/>
        <v xml:space="preserve"> </v>
      </c>
      <c r="S182" s="468" t="str">
        <f t="shared" si="90"/>
        <v xml:space="preserve"> </v>
      </c>
      <c r="T182" s="468" t="str">
        <f t="shared" si="91"/>
        <v xml:space="preserve"> </v>
      </c>
      <c r="U182" s="405"/>
      <c r="V182" s="405"/>
      <c r="W182" s="405"/>
      <c r="X182" s="405"/>
      <c r="Y182" s="405"/>
      <c r="Z182" s="405"/>
      <c r="AA182" s="405"/>
      <c r="AB182" s="405"/>
      <c r="AC182" s="389" t="e">
        <f t="shared" si="71"/>
        <v>#N/A</v>
      </c>
      <c r="AD182" s="390">
        <f t="shared" si="72"/>
        <v>0</v>
      </c>
      <c r="AE182" s="390">
        <f t="shared" si="73"/>
        <v>0</v>
      </c>
      <c r="AF182" s="391">
        <f t="shared" si="74"/>
        <v>0</v>
      </c>
      <c r="AG182" s="392">
        <f t="shared" si="75"/>
        <v>0</v>
      </c>
      <c r="AH182" s="392">
        <f t="shared" si="76"/>
        <v>0</v>
      </c>
      <c r="AI182" s="392">
        <f t="shared" si="77"/>
        <v>0</v>
      </c>
      <c r="AJ182" s="393">
        <f t="shared" si="78"/>
        <v>0</v>
      </c>
      <c r="AK182" s="391">
        <f t="shared" si="79"/>
        <v>0</v>
      </c>
      <c r="AL182" s="391">
        <f t="shared" si="80"/>
        <v>0</v>
      </c>
      <c r="AM182" s="391">
        <f t="shared" si="81"/>
        <v>0</v>
      </c>
      <c r="AN182" s="391">
        <f t="shared" si="82"/>
        <v>0</v>
      </c>
      <c r="AO182" s="403">
        <f t="shared" si="83"/>
        <v>0</v>
      </c>
      <c r="AP182" s="405"/>
      <c r="AQ182" s="390" t="e">
        <f t="shared" si="84"/>
        <v>#N/A</v>
      </c>
      <c r="AR182" s="408">
        <f t="shared" si="85"/>
        <v>0</v>
      </c>
      <c r="AS182" s="409" t="str">
        <f t="shared" si="70"/>
        <v/>
      </c>
      <c r="AT182" s="416"/>
    </row>
    <row r="183" spans="1:46" ht="15" x14ac:dyDescent="0.25">
      <c r="A183" s="592">
        <v>180</v>
      </c>
      <c r="B183" s="604"/>
      <c r="C183" s="302"/>
      <c r="D183" s="304"/>
      <c r="E183" s="306"/>
      <c r="F183" s="698"/>
      <c r="G183" s="304"/>
      <c r="H183" s="304"/>
      <c r="I183" s="304"/>
      <c r="J183" s="304"/>
      <c r="K183" s="307"/>
      <c r="L183" s="590" t="str">
        <f t="shared" si="69"/>
        <v/>
      </c>
      <c r="M183" s="416"/>
      <c r="N183" s="405"/>
      <c r="O183" s="468" t="str">
        <f t="shared" si="86"/>
        <v xml:space="preserve"> </v>
      </c>
      <c r="P183" s="468" t="str">
        <f t="shared" si="87"/>
        <v xml:space="preserve"> </v>
      </c>
      <c r="Q183" s="468" t="str">
        <f t="shared" si="88"/>
        <v xml:space="preserve"> </v>
      </c>
      <c r="R183" s="468" t="str">
        <f t="shared" si="89"/>
        <v xml:space="preserve"> </v>
      </c>
      <c r="S183" s="468" t="str">
        <f t="shared" si="90"/>
        <v xml:space="preserve"> </v>
      </c>
      <c r="T183" s="468" t="str">
        <f t="shared" si="91"/>
        <v xml:space="preserve"> </v>
      </c>
      <c r="U183" s="405"/>
      <c r="V183" s="405"/>
      <c r="W183" s="405"/>
      <c r="X183" s="405"/>
      <c r="Y183" s="405"/>
      <c r="Z183" s="405"/>
      <c r="AA183" s="405"/>
      <c r="AB183" s="405"/>
      <c r="AC183" s="389" t="e">
        <f t="shared" si="71"/>
        <v>#N/A</v>
      </c>
      <c r="AD183" s="390">
        <f t="shared" si="72"/>
        <v>0</v>
      </c>
      <c r="AE183" s="390">
        <f t="shared" si="73"/>
        <v>0</v>
      </c>
      <c r="AF183" s="391">
        <f t="shared" si="74"/>
        <v>0</v>
      </c>
      <c r="AG183" s="392">
        <f t="shared" si="75"/>
        <v>0</v>
      </c>
      <c r="AH183" s="392">
        <f t="shared" si="76"/>
        <v>0</v>
      </c>
      <c r="AI183" s="392">
        <f t="shared" si="77"/>
        <v>0</v>
      </c>
      <c r="AJ183" s="393">
        <f t="shared" si="78"/>
        <v>0</v>
      </c>
      <c r="AK183" s="391">
        <f t="shared" si="79"/>
        <v>0</v>
      </c>
      <c r="AL183" s="391">
        <f t="shared" si="80"/>
        <v>0</v>
      </c>
      <c r="AM183" s="391">
        <f t="shared" si="81"/>
        <v>0</v>
      </c>
      <c r="AN183" s="391">
        <f t="shared" si="82"/>
        <v>0</v>
      </c>
      <c r="AO183" s="403">
        <f t="shared" si="83"/>
        <v>0</v>
      </c>
      <c r="AP183" s="405"/>
      <c r="AQ183" s="390" t="e">
        <f t="shared" si="84"/>
        <v>#N/A</v>
      </c>
      <c r="AR183" s="408">
        <f t="shared" si="85"/>
        <v>0</v>
      </c>
      <c r="AS183" s="409" t="str">
        <f t="shared" si="70"/>
        <v/>
      </c>
      <c r="AT183" s="416"/>
    </row>
    <row r="184" spans="1:46" ht="15" x14ac:dyDescent="0.25">
      <c r="A184" s="592">
        <v>181</v>
      </c>
      <c r="B184" s="604"/>
      <c r="C184" s="302"/>
      <c r="D184" s="304"/>
      <c r="E184" s="306"/>
      <c r="F184" s="698"/>
      <c r="G184" s="304"/>
      <c r="H184" s="304"/>
      <c r="I184" s="304"/>
      <c r="J184" s="304"/>
      <c r="K184" s="307"/>
      <c r="L184" s="590" t="str">
        <f t="shared" si="69"/>
        <v/>
      </c>
      <c r="M184" s="416"/>
      <c r="N184" s="405"/>
      <c r="O184" s="468" t="str">
        <f t="shared" si="86"/>
        <v xml:space="preserve"> </v>
      </c>
      <c r="P184" s="468" t="str">
        <f t="shared" si="87"/>
        <v xml:space="preserve"> </v>
      </c>
      <c r="Q184" s="468" t="str">
        <f t="shared" si="88"/>
        <v xml:space="preserve"> </v>
      </c>
      <c r="R184" s="468" t="str">
        <f t="shared" si="89"/>
        <v xml:space="preserve"> </v>
      </c>
      <c r="S184" s="468" t="str">
        <f t="shared" si="90"/>
        <v xml:space="preserve"> </v>
      </c>
      <c r="T184" s="468" t="str">
        <f t="shared" si="91"/>
        <v xml:space="preserve"> </v>
      </c>
      <c r="U184" s="405"/>
      <c r="V184" s="405"/>
      <c r="W184" s="405"/>
      <c r="X184" s="405"/>
      <c r="Y184" s="405"/>
      <c r="Z184" s="405"/>
      <c r="AA184" s="405"/>
      <c r="AB184" s="405"/>
      <c r="AC184" s="389" t="e">
        <f t="shared" si="71"/>
        <v>#N/A</v>
      </c>
      <c r="AD184" s="390">
        <f t="shared" si="72"/>
        <v>0</v>
      </c>
      <c r="AE184" s="390">
        <f t="shared" si="73"/>
        <v>0</v>
      </c>
      <c r="AF184" s="391">
        <f t="shared" si="74"/>
        <v>0</v>
      </c>
      <c r="AG184" s="392">
        <f t="shared" si="75"/>
        <v>0</v>
      </c>
      <c r="AH184" s="392">
        <f t="shared" si="76"/>
        <v>0</v>
      </c>
      <c r="AI184" s="392">
        <f t="shared" si="77"/>
        <v>0</v>
      </c>
      <c r="AJ184" s="393">
        <f t="shared" si="78"/>
        <v>0</v>
      </c>
      <c r="AK184" s="391">
        <f t="shared" si="79"/>
        <v>0</v>
      </c>
      <c r="AL184" s="391">
        <f t="shared" si="80"/>
        <v>0</v>
      </c>
      <c r="AM184" s="391">
        <f t="shared" si="81"/>
        <v>0</v>
      </c>
      <c r="AN184" s="391">
        <f t="shared" si="82"/>
        <v>0</v>
      </c>
      <c r="AO184" s="403">
        <f t="shared" si="83"/>
        <v>0</v>
      </c>
      <c r="AP184" s="405"/>
      <c r="AQ184" s="390" t="e">
        <f t="shared" si="84"/>
        <v>#N/A</v>
      </c>
      <c r="AR184" s="408">
        <f t="shared" si="85"/>
        <v>0</v>
      </c>
      <c r="AS184" s="409" t="str">
        <f t="shared" si="70"/>
        <v/>
      </c>
      <c r="AT184" s="416"/>
    </row>
    <row r="185" spans="1:46" ht="15" x14ac:dyDescent="0.25">
      <c r="A185" s="592">
        <v>182</v>
      </c>
      <c r="B185" s="604"/>
      <c r="C185" s="302"/>
      <c r="D185" s="304"/>
      <c r="E185" s="306"/>
      <c r="F185" s="698"/>
      <c r="G185" s="304"/>
      <c r="H185" s="304"/>
      <c r="I185" s="304"/>
      <c r="J185" s="304"/>
      <c r="K185" s="307"/>
      <c r="L185" s="590" t="str">
        <f t="shared" si="69"/>
        <v/>
      </c>
      <c r="M185" s="416"/>
      <c r="N185" s="405"/>
      <c r="O185" s="468" t="str">
        <f t="shared" si="86"/>
        <v xml:space="preserve"> </v>
      </c>
      <c r="P185" s="468" t="str">
        <f t="shared" si="87"/>
        <v xml:space="preserve"> </v>
      </c>
      <c r="Q185" s="468" t="str">
        <f t="shared" si="88"/>
        <v xml:space="preserve"> </v>
      </c>
      <c r="R185" s="468" t="str">
        <f t="shared" si="89"/>
        <v xml:space="preserve"> </v>
      </c>
      <c r="S185" s="468" t="str">
        <f t="shared" si="90"/>
        <v xml:space="preserve"> </v>
      </c>
      <c r="T185" s="468" t="str">
        <f t="shared" si="91"/>
        <v xml:space="preserve"> </v>
      </c>
      <c r="U185" s="405"/>
      <c r="V185" s="405"/>
      <c r="W185" s="405"/>
      <c r="X185" s="405"/>
      <c r="Y185" s="405"/>
      <c r="Z185" s="405"/>
      <c r="AA185" s="405"/>
      <c r="AB185" s="405"/>
      <c r="AC185" s="389" t="e">
        <f t="shared" si="71"/>
        <v>#N/A</v>
      </c>
      <c r="AD185" s="390">
        <f t="shared" si="72"/>
        <v>0</v>
      </c>
      <c r="AE185" s="390">
        <f t="shared" si="73"/>
        <v>0</v>
      </c>
      <c r="AF185" s="391">
        <f t="shared" si="74"/>
        <v>0</v>
      </c>
      <c r="AG185" s="392">
        <f t="shared" si="75"/>
        <v>0</v>
      </c>
      <c r="AH185" s="392">
        <f t="shared" si="76"/>
        <v>0</v>
      </c>
      <c r="AI185" s="392">
        <f t="shared" si="77"/>
        <v>0</v>
      </c>
      <c r="AJ185" s="393">
        <f t="shared" si="78"/>
        <v>0</v>
      </c>
      <c r="AK185" s="391">
        <f t="shared" si="79"/>
        <v>0</v>
      </c>
      <c r="AL185" s="391">
        <f t="shared" si="80"/>
        <v>0</v>
      </c>
      <c r="AM185" s="391">
        <f t="shared" si="81"/>
        <v>0</v>
      </c>
      <c r="AN185" s="391">
        <f t="shared" si="82"/>
        <v>0</v>
      </c>
      <c r="AO185" s="403">
        <f t="shared" si="83"/>
        <v>0</v>
      </c>
      <c r="AP185" s="405"/>
      <c r="AQ185" s="390" t="e">
        <f t="shared" si="84"/>
        <v>#N/A</v>
      </c>
      <c r="AR185" s="408">
        <f t="shared" si="85"/>
        <v>0</v>
      </c>
      <c r="AS185" s="409" t="str">
        <f t="shared" si="70"/>
        <v/>
      </c>
      <c r="AT185" s="416"/>
    </row>
    <row r="186" spans="1:46" ht="15" x14ac:dyDescent="0.25">
      <c r="A186" s="592">
        <v>183</v>
      </c>
      <c r="B186" s="604"/>
      <c r="C186" s="302"/>
      <c r="D186" s="304"/>
      <c r="E186" s="306"/>
      <c r="F186" s="698"/>
      <c r="G186" s="304"/>
      <c r="H186" s="304"/>
      <c r="I186" s="304"/>
      <c r="J186" s="304"/>
      <c r="K186" s="307"/>
      <c r="L186" s="590" t="str">
        <f t="shared" si="69"/>
        <v/>
      </c>
      <c r="M186" s="416"/>
      <c r="N186" s="405"/>
      <c r="O186" s="468" t="str">
        <f t="shared" si="86"/>
        <v xml:space="preserve"> </v>
      </c>
      <c r="P186" s="468" t="str">
        <f t="shared" si="87"/>
        <v xml:space="preserve"> </v>
      </c>
      <c r="Q186" s="468" t="str">
        <f t="shared" si="88"/>
        <v xml:space="preserve"> </v>
      </c>
      <c r="R186" s="468" t="str">
        <f t="shared" si="89"/>
        <v xml:space="preserve"> </v>
      </c>
      <c r="S186" s="468" t="str">
        <f t="shared" si="90"/>
        <v xml:space="preserve"> </v>
      </c>
      <c r="T186" s="468" t="str">
        <f t="shared" si="91"/>
        <v xml:space="preserve"> </v>
      </c>
      <c r="U186" s="405"/>
      <c r="V186" s="405"/>
      <c r="W186" s="405"/>
      <c r="X186" s="405"/>
      <c r="Y186" s="405"/>
      <c r="Z186" s="405"/>
      <c r="AA186" s="405"/>
      <c r="AB186" s="405"/>
      <c r="AC186" s="389" t="e">
        <f t="shared" si="71"/>
        <v>#N/A</v>
      </c>
      <c r="AD186" s="390">
        <f t="shared" si="72"/>
        <v>0</v>
      </c>
      <c r="AE186" s="390">
        <f t="shared" si="73"/>
        <v>0</v>
      </c>
      <c r="AF186" s="391">
        <f t="shared" si="74"/>
        <v>0</v>
      </c>
      <c r="AG186" s="392">
        <f t="shared" si="75"/>
        <v>0</v>
      </c>
      <c r="AH186" s="392">
        <f t="shared" si="76"/>
        <v>0</v>
      </c>
      <c r="AI186" s="392">
        <f t="shared" si="77"/>
        <v>0</v>
      </c>
      <c r="AJ186" s="393">
        <f t="shared" si="78"/>
        <v>0</v>
      </c>
      <c r="AK186" s="391">
        <f t="shared" si="79"/>
        <v>0</v>
      </c>
      <c r="AL186" s="391">
        <f t="shared" si="80"/>
        <v>0</v>
      </c>
      <c r="AM186" s="391">
        <f t="shared" si="81"/>
        <v>0</v>
      </c>
      <c r="AN186" s="391">
        <f t="shared" si="82"/>
        <v>0</v>
      </c>
      <c r="AO186" s="403">
        <f t="shared" si="83"/>
        <v>0</v>
      </c>
      <c r="AP186" s="405"/>
      <c r="AQ186" s="390" t="e">
        <f t="shared" si="84"/>
        <v>#N/A</v>
      </c>
      <c r="AR186" s="408">
        <f t="shared" si="85"/>
        <v>0</v>
      </c>
      <c r="AS186" s="409" t="str">
        <f t="shared" si="70"/>
        <v/>
      </c>
      <c r="AT186" s="416"/>
    </row>
    <row r="187" spans="1:46" ht="15" x14ac:dyDescent="0.25">
      <c r="A187" s="592">
        <v>184</v>
      </c>
      <c r="B187" s="604"/>
      <c r="C187" s="302"/>
      <c r="D187" s="304"/>
      <c r="E187" s="306"/>
      <c r="F187" s="698"/>
      <c r="G187" s="304"/>
      <c r="H187" s="304"/>
      <c r="I187" s="304"/>
      <c r="J187" s="304"/>
      <c r="K187" s="307"/>
      <c r="L187" s="590" t="str">
        <f t="shared" si="69"/>
        <v/>
      </c>
      <c r="M187" s="416"/>
      <c r="N187" s="405"/>
      <c r="O187" s="468" t="str">
        <f t="shared" si="86"/>
        <v xml:space="preserve"> </v>
      </c>
      <c r="P187" s="468" t="str">
        <f t="shared" si="87"/>
        <v xml:space="preserve"> </v>
      </c>
      <c r="Q187" s="468" t="str">
        <f t="shared" si="88"/>
        <v xml:space="preserve"> </v>
      </c>
      <c r="R187" s="468" t="str">
        <f t="shared" si="89"/>
        <v xml:space="preserve"> </v>
      </c>
      <c r="S187" s="468" t="str">
        <f t="shared" si="90"/>
        <v xml:space="preserve"> </v>
      </c>
      <c r="T187" s="468" t="str">
        <f t="shared" si="91"/>
        <v xml:space="preserve"> </v>
      </c>
      <c r="U187" s="405"/>
      <c r="V187" s="405"/>
      <c r="W187" s="405"/>
      <c r="X187" s="405"/>
      <c r="Y187" s="405"/>
      <c r="Z187" s="405"/>
      <c r="AA187" s="405"/>
      <c r="AB187" s="405"/>
      <c r="AC187" s="389" t="e">
        <f t="shared" si="71"/>
        <v>#N/A</v>
      </c>
      <c r="AD187" s="390">
        <f t="shared" si="72"/>
        <v>0</v>
      </c>
      <c r="AE187" s="390">
        <f t="shared" si="73"/>
        <v>0</v>
      </c>
      <c r="AF187" s="391">
        <f t="shared" si="74"/>
        <v>0</v>
      </c>
      <c r="AG187" s="392">
        <f t="shared" si="75"/>
        <v>0</v>
      </c>
      <c r="AH187" s="392">
        <f t="shared" si="76"/>
        <v>0</v>
      </c>
      <c r="AI187" s="392">
        <f t="shared" si="77"/>
        <v>0</v>
      </c>
      <c r="AJ187" s="393">
        <f t="shared" si="78"/>
        <v>0</v>
      </c>
      <c r="AK187" s="391">
        <f t="shared" si="79"/>
        <v>0</v>
      </c>
      <c r="AL187" s="391">
        <f t="shared" si="80"/>
        <v>0</v>
      </c>
      <c r="AM187" s="391">
        <f t="shared" si="81"/>
        <v>0</v>
      </c>
      <c r="AN187" s="391">
        <f t="shared" si="82"/>
        <v>0</v>
      </c>
      <c r="AO187" s="403">
        <f t="shared" si="83"/>
        <v>0</v>
      </c>
      <c r="AP187" s="405"/>
      <c r="AQ187" s="390" t="e">
        <f t="shared" si="84"/>
        <v>#N/A</v>
      </c>
      <c r="AR187" s="408">
        <f t="shared" si="85"/>
        <v>0</v>
      </c>
      <c r="AS187" s="409" t="str">
        <f t="shared" si="70"/>
        <v/>
      </c>
      <c r="AT187" s="416"/>
    </row>
    <row r="188" spans="1:46" ht="15" x14ac:dyDescent="0.25">
      <c r="A188" s="592">
        <v>185</v>
      </c>
      <c r="B188" s="604"/>
      <c r="C188" s="302"/>
      <c r="D188" s="304"/>
      <c r="E188" s="306"/>
      <c r="F188" s="698"/>
      <c r="G188" s="304"/>
      <c r="H188" s="304"/>
      <c r="I188" s="304"/>
      <c r="J188" s="304"/>
      <c r="K188" s="307"/>
      <c r="L188" s="590" t="str">
        <f t="shared" si="69"/>
        <v/>
      </c>
      <c r="M188" s="416"/>
      <c r="N188" s="405"/>
      <c r="O188" s="468" t="str">
        <f t="shared" si="86"/>
        <v xml:space="preserve"> </v>
      </c>
      <c r="P188" s="468" t="str">
        <f t="shared" si="87"/>
        <v xml:space="preserve"> </v>
      </c>
      <c r="Q188" s="468" t="str">
        <f t="shared" si="88"/>
        <v xml:space="preserve"> </v>
      </c>
      <c r="R188" s="468" t="str">
        <f t="shared" si="89"/>
        <v xml:space="preserve"> </v>
      </c>
      <c r="S188" s="468" t="str">
        <f t="shared" si="90"/>
        <v xml:space="preserve"> </v>
      </c>
      <c r="T188" s="468" t="str">
        <f t="shared" si="91"/>
        <v xml:space="preserve"> </v>
      </c>
      <c r="U188" s="405"/>
      <c r="V188" s="405"/>
      <c r="W188" s="405"/>
      <c r="X188" s="405"/>
      <c r="Y188" s="405"/>
      <c r="Z188" s="405"/>
      <c r="AA188" s="405"/>
      <c r="AB188" s="405"/>
      <c r="AC188" s="389" t="e">
        <f t="shared" si="71"/>
        <v>#N/A</v>
      </c>
      <c r="AD188" s="390">
        <f t="shared" si="72"/>
        <v>0</v>
      </c>
      <c r="AE188" s="390">
        <f t="shared" si="73"/>
        <v>0</v>
      </c>
      <c r="AF188" s="391">
        <f t="shared" si="74"/>
        <v>0</v>
      </c>
      <c r="AG188" s="392">
        <f t="shared" si="75"/>
        <v>0</v>
      </c>
      <c r="AH188" s="392">
        <f t="shared" si="76"/>
        <v>0</v>
      </c>
      <c r="AI188" s="392">
        <f t="shared" si="77"/>
        <v>0</v>
      </c>
      <c r="AJ188" s="393">
        <f t="shared" si="78"/>
        <v>0</v>
      </c>
      <c r="AK188" s="391">
        <f t="shared" si="79"/>
        <v>0</v>
      </c>
      <c r="AL188" s="391">
        <f t="shared" si="80"/>
        <v>0</v>
      </c>
      <c r="AM188" s="391">
        <f t="shared" si="81"/>
        <v>0</v>
      </c>
      <c r="AN188" s="391">
        <f t="shared" si="82"/>
        <v>0</v>
      </c>
      <c r="AO188" s="403">
        <f t="shared" si="83"/>
        <v>0</v>
      </c>
      <c r="AP188" s="405"/>
      <c r="AQ188" s="390" t="e">
        <f t="shared" si="84"/>
        <v>#N/A</v>
      </c>
      <c r="AR188" s="408">
        <f t="shared" si="85"/>
        <v>0</v>
      </c>
      <c r="AS188" s="409" t="str">
        <f t="shared" si="70"/>
        <v/>
      </c>
      <c r="AT188" s="416"/>
    </row>
    <row r="189" spans="1:46" ht="15" x14ac:dyDescent="0.25">
      <c r="A189" s="592">
        <v>186</v>
      </c>
      <c r="B189" s="604"/>
      <c r="C189" s="302"/>
      <c r="D189" s="304"/>
      <c r="E189" s="306"/>
      <c r="F189" s="698"/>
      <c r="G189" s="304"/>
      <c r="H189" s="304"/>
      <c r="I189" s="304"/>
      <c r="J189" s="304"/>
      <c r="K189" s="307"/>
      <c r="L189" s="590" t="str">
        <f t="shared" si="69"/>
        <v/>
      </c>
      <c r="M189" s="416"/>
      <c r="N189" s="405"/>
      <c r="O189" s="468" t="str">
        <f t="shared" si="86"/>
        <v xml:space="preserve"> </v>
      </c>
      <c r="P189" s="468" t="str">
        <f t="shared" si="87"/>
        <v xml:space="preserve"> </v>
      </c>
      <c r="Q189" s="468" t="str">
        <f t="shared" si="88"/>
        <v xml:space="preserve"> </v>
      </c>
      <c r="R189" s="468" t="str">
        <f t="shared" si="89"/>
        <v xml:space="preserve"> </v>
      </c>
      <c r="S189" s="468" t="str">
        <f t="shared" si="90"/>
        <v xml:space="preserve"> </v>
      </c>
      <c r="T189" s="468" t="str">
        <f t="shared" si="91"/>
        <v xml:space="preserve"> </v>
      </c>
      <c r="U189" s="405"/>
      <c r="V189" s="405"/>
      <c r="W189" s="405"/>
      <c r="X189" s="405"/>
      <c r="Y189" s="405"/>
      <c r="Z189" s="405"/>
      <c r="AA189" s="405"/>
      <c r="AB189" s="405"/>
      <c r="AC189" s="389" t="e">
        <f t="shared" si="71"/>
        <v>#N/A</v>
      </c>
      <c r="AD189" s="390">
        <f t="shared" si="72"/>
        <v>0</v>
      </c>
      <c r="AE189" s="390">
        <f t="shared" si="73"/>
        <v>0</v>
      </c>
      <c r="AF189" s="391">
        <f t="shared" si="74"/>
        <v>0</v>
      </c>
      <c r="AG189" s="392">
        <f t="shared" si="75"/>
        <v>0</v>
      </c>
      <c r="AH189" s="392">
        <f t="shared" si="76"/>
        <v>0</v>
      </c>
      <c r="AI189" s="392">
        <f t="shared" si="77"/>
        <v>0</v>
      </c>
      <c r="AJ189" s="393">
        <f t="shared" si="78"/>
        <v>0</v>
      </c>
      <c r="AK189" s="391">
        <f t="shared" si="79"/>
        <v>0</v>
      </c>
      <c r="AL189" s="391">
        <f t="shared" si="80"/>
        <v>0</v>
      </c>
      <c r="AM189" s="391">
        <f t="shared" si="81"/>
        <v>0</v>
      </c>
      <c r="AN189" s="391">
        <f t="shared" si="82"/>
        <v>0</v>
      </c>
      <c r="AO189" s="403">
        <f t="shared" si="83"/>
        <v>0</v>
      </c>
      <c r="AP189" s="405"/>
      <c r="AQ189" s="390" t="e">
        <f t="shared" si="84"/>
        <v>#N/A</v>
      </c>
      <c r="AR189" s="408">
        <f t="shared" si="85"/>
        <v>0</v>
      </c>
      <c r="AS189" s="409" t="str">
        <f t="shared" si="70"/>
        <v/>
      </c>
      <c r="AT189" s="416"/>
    </row>
    <row r="190" spans="1:46" ht="15" x14ac:dyDescent="0.25">
      <c r="A190" s="592">
        <v>187</v>
      </c>
      <c r="B190" s="604"/>
      <c r="C190" s="302"/>
      <c r="D190" s="304"/>
      <c r="E190" s="306"/>
      <c r="F190" s="698"/>
      <c r="G190" s="304"/>
      <c r="H190" s="304"/>
      <c r="I190" s="304"/>
      <c r="J190" s="304"/>
      <c r="K190" s="307"/>
      <c r="L190" s="590" t="str">
        <f t="shared" si="69"/>
        <v/>
      </c>
      <c r="M190" s="416"/>
      <c r="N190" s="405"/>
      <c r="O190" s="468" t="str">
        <f t="shared" si="86"/>
        <v xml:space="preserve"> </v>
      </c>
      <c r="P190" s="468" t="str">
        <f t="shared" si="87"/>
        <v xml:space="preserve"> </v>
      </c>
      <c r="Q190" s="468" t="str">
        <f t="shared" si="88"/>
        <v xml:space="preserve"> </v>
      </c>
      <c r="R190" s="468" t="str">
        <f t="shared" si="89"/>
        <v xml:space="preserve"> </v>
      </c>
      <c r="S190" s="468" t="str">
        <f t="shared" si="90"/>
        <v xml:space="preserve"> </v>
      </c>
      <c r="T190" s="468" t="str">
        <f t="shared" si="91"/>
        <v xml:space="preserve"> </v>
      </c>
      <c r="U190" s="405"/>
      <c r="V190" s="405"/>
      <c r="W190" s="405"/>
      <c r="X190" s="405"/>
      <c r="Y190" s="405"/>
      <c r="Z190" s="405"/>
      <c r="AA190" s="405"/>
      <c r="AB190" s="405"/>
      <c r="AC190" s="389" t="e">
        <f t="shared" si="71"/>
        <v>#N/A</v>
      </c>
      <c r="AD190" s="390">
        <f t="shared" si="72"/>
        <v>0</v>
      </c>
      <c r="AE190" s="390">
        <f t="shared" si="73"/>
        <v>0</v>
      </c>
      <c r="AF190" s="391">
        <f t="shared" si="74"/>
        <v>0</v>
      </c>
      <c r="AG190" s="392">
        <f t="shared" si="75"/>
        <v>0</v>
      </c>
      <c r="AH190" s="392">
        <f t="shared" si="76"/>
        <v>0</v>
      </c>
      <c r="AI190" s="392">
        <f t="shared" si="77"/>
        <v>0</v>
      </c>
      <c r="AJ190" s="393">
        <f t="shared" si="78"/>
        <v>0</v>
      </c>
      <c r="AK190" s="391">
        <f t="shared" si="79"/>
        <v>0</v>
      </c>
      <c r="AL190" s="391">
        <f t="shared" si="80"/>
        <v>0</v>
      </c>
      <c r="AM190" s="391">
        <f t="shared" si="81"/>
        <v>0</v>
      </c>
      <c r="AN190" s="391">
        <f t="shared" si="82"/>
        <v>0</v>
      </c>
      <c r="AO190" s="403">
        <f t="shared" si="83"/>
        <v>0</v>
      </c>
      <c r="AP190" s="405"/>
      <c r="AQ190" s="390" t="e">
        <f t="shared" si="84"/>
        <v>#N/A</v>
      </c>
      <c r="AR190" s="408">
        <f t="shared" si="85"/>
        <v>0</v>
      </c>
      <c r="AS190" s="409" t="str">
        <f t="shared" si="70"/>
        <v/>
      </c>
      <c r="AT190" s="416"/>
    </row>
    <row r="191" spans="1:46" ht="15" x14ac:dyDescent="0.25">
      <c r="A191" s="592">
        <v>188</v>
      </c>
      <c r="B191" s="604"/>
      <c r="C191" s="302"/>
      <c r="D191" s="304"/>
      <c r="E191" s="306"/>
      <c r="F191" s="698"/>
      <c r="G191" s="304"/>
      <c r="H191" s="304"/>
      <c r="I191" s="304"/>
      <c r="J191" s="304"/>
      <c r="K191" s="307"/>
      <c r="L191" s="590" t="str">
        <f t="shared" si="69"/>
        <v/>
      </c>
      <c r="M191" s="416"/>
      <c r="N191" s="405"/>
      <c r="O191" s="468" t="str">
        <f t="shared" si="86"/>
        <v xml:space="preserve"> </v>
      </c>
      <c r="P191" s="468" t="str">
        <f t="shared" si="87"/>
        <v xml:space="preserve"> </v>
      </c>
      <c r="Q191" s="468" t="str">
        <f t="shared" si="88"/>
        <v xml:space="preserve"> </v>
      </c>
      <c r="R191" s="468" t="str">
        <f t="shared" si="89"/>
        <v xml:space="preserve"> </v>
      </c>
      <c r="S191" s="468" t="str">
        <f t="shared" si="90"/>
        <v xml:space="preserve"> </v>
      </c>
      <c r="T191" s="468" t="str">
        <f t="shared" si="91"/>
        <v xml:space="preserve"> </v>
      </c>
      <c r="U191" s="405"/>
      <c r="V191" s="405"/>
      <c r="W191" s="405"/>
      <c r="X191" s="405"/>
      <c r="Y191" s="405"/>
      <c r="Z191" s="405"/>
      <c r="AA191" s="405"/>
      <c r="AB191" s="405"/>
      <c r="AC191" s="389" t="e">
        <f t="shared" si="71"/>
        <v>#N/A</v>
      </c>
      <c r="AD191" s="390">
        <f t="shared" si="72"/>
        <v>0</v>
      </c>
      <c r="AE191" s="390">
        <f t="shared" si="73"/>
        <v>0</v>
      </c>
      <c r="AF191" s="391">
        <f t="shared" si="74"/>
        <v>0</v>
      </c>
      <c r="AG191" s="392">
        <f t="shared" si="75"/>
        <v>0</v>
      </c>
      <c r="AH191" s="392">
        <f t="shared" si="76"/>
        <v>0</v>
      </c>
      <c r="AI191" s="392">
        <f t="shared" si="77"/>
        <v>0</v>
      </c>
      <c r="AJ191" s="393">
        <f t="shared" si="78"/>
        <v>0</v>
      </c>
      <c r="AK191" s="391">
        <f t="shared" si="79"/>
        <v>0</v>
      </c>
      <c r="AL191" s="391">
        <f t="shared" si="80"/>
        <v>0</v>
      </c>
      <c r="AM191" s="391">
        <f t="shared" si="81"/>
        <v>0</v>
      </c>
      <c r="AN191" s="391">
        <f t="shared" si="82"/>
        <v>0</v>
      </c>
      <c r="AO191" s="403">
        <f t="shared" si="83"/>
        <v>0</v>
      </c>
      <c r="AP191" s="405"/>
      <c r="AQ191" s="390" t="e">
        <f t="shared" si="84"/>
        <v>#N/A</v>
      </c>
      <c r="AR191" s="408">
        <f t="shared" si="85"/>
        <v>0</v>
      </c>
      <c r="AS191" s="409" t="str">
        <f t="shared" si="70"/>
        <v/>
      </c>
      <c r="AT191" s="416"/>
    </row>
    <row r="192" spans="1:46" ht="15" x14ac:dyDescent="0.25">
      <c r="A192" s="592">
        <v>189</v>
      </c>
      <c r="B192" s="604"/>
      <c r="C192" s="302"/>
      <c r="D192" s="304"/>
      <c r="E192" s="306"/>
      <c r="F192" s="698"/>
      <c r="G192" s="304"/>
      <c r="H192" s="304"/>
      <c r="I192" s="304"/>
      <c r="J192" s="304"/>
      <c r="K192" s="307"/>
      <c r="L192" s="590" t="str">
        <f t="shared" si="69"/>
        <v/>
      </c>
      <c r="M192" s="416"/>
      <c r="N192" s="405"/>
      <c r="O192" s="468" t="str">
        <f t="shared" si="86"/>
        <v xml:space="preserve"> </v>
      </c>
      <c r="P192" s="468" t="str">
        <f t="shared" si="87"/>
        <v xml:space="preserve"> </v>
      </c>
      <c r="Q192" s="468" t="str">
        <f t="shared" si="88"/>
        <v xml:space="preserve"> </v>
      </c>
      <c r="R192" s="468" t="str">
        <f t="shared" si="89"/>
        <v xml:space="preserve"> </v>
      </c>
      <c r="S192" s="468" t="str">
        <f t="shared" si="90"/>
        <v xml:space="preserve"> </v>
      </c>
      <c r="T192" s="468" t="str">
        <f t="shared" si="91"/>
        <v xml:space="preserve"> </v>
      </c>
      <c r="U192" s="405"/>
      <c r="V192" s="405"/>
      <c r="W192" s="405"/>
      <c r="X192" s="405"/>
      <c r="Y192" s="405"/>
      <c r="Z192" s="405"/>
      <c r="AA192" s="405"/>
      <c r="AB192" s="405"/>
      <c r="AC192" s="389" t="e">
        <f t="shared" si="71"/>
        <v>#N/A</v>
      </c>
      <c r="AD192" s="390">
        <f t="shared" si="72"/>
        <v>0</v>
      </c>
      <c r="AE192" s="390">
        <f t="shared" si="73"/>
        <v>0</v>
      </c>
      <c r="AF192" s="391">
        <f t="shared" si="74"/>
        <v>0</v>
      </c>
      <c r="AG192" s="392">
        <f t="shared" si="75"/>
        <v>0</v>
      </c>
      <c r="AH192" s="392">
        <f t="shared" si="76"/>
        <v>0</v>
      </c>
      <c r="AI192" s="392">
        <f t="shared" si="77"/>
        <v>0</v>
      </c>
      <c r="AJ192" s="393">
        <f t="shared" si="78"/>
        <v>0</v>
      </c>
      <c r="AK192" s="391">
        <f t="shared" si="79"/>
        <v>0</v>
      </c>
      <c r="AL192" s="391">
        <f t="shared" si="80"/>
        <v>0</v>
      </c>
      <c r="AM192" s="391">
        <f t="shared" si="81"/>
        <v>0</v>
      </c>
      <c r="AN192" s="391">
        <f t="shared" si="82"/>
        <v>0</v>
      </c>
      <c r="AO192" s="403">
        <f t="shared" si="83"/>
        <v>0</v>
      </c>
      <c r="AP192" s="405"/>
      <c r="AQ192" s="390" t="e">
        <f t="shared" si="84"/>
        <v>#N/A</v>
      </c>
      <c r="AR192" s="408">
        <f t="shared" si="85"/>
        <v>0</v>
      </c>
      <c r="AS192" s="409" t="str">
        <f t="shared" si="70"/>
        <v/>
      </c>
      <c r="AT192" s="416"/>
    </row>
    <row r="193" spans="1:46" ht="15" x14ac:dyDescent="0.25">
      <c r="A193" s="592">
        <v>190</v>
      </c>
      <c r="B193" s="604"/>
      <c r="C193" s="302"/>
      <c r="D193" s="304"/>
      <c r="E193" s="306"/>
      <c r="F193" s="698"/>
      <c r="G193" s="304"/>
      <c r="H193" s="304"/>
      <c r="I193" s="304"/>
      <c r="J193" s="304"/>
      <c r="K193" s="307"/>
      <c r="L193" s="590" t="str">
        <f t="shared" si="69"/>
        <v/>
      </c>
      <c r="M193" s="416"/>
      <c r="N193" s="405"/>
      <c r="O193" s="468" t="str">
        <f t="shared" si="86"/>
        <v xml:space="preserve"> </v>
      </c>
      <c r="P193" s="468" t="str">
        <f t="shared" si="87"/>
        <v xml:space="preserve"> </v>
      </c>
      <c r="Q193" s="468" t="str">
        <f t="shared" si="88"/>
        <v xml:space="preserve"> </v>
      </c>
      <c r="R193" s="468" t="str">
        <f t="shared" si="89"/>
        <v xml:space="preserve"> </v>
      </c>
      <c r="S193" s="468" t="str">
        <f t="shared" si="90"/>
        <v xml:space="preserve"> </v>
      </c>
      <c r="T193" s="468" t="str">
        <f t="shared" si="91"/>
        <v xml:space="preserve"> </v>
      </c>
      <c r="U193" s="405"/>
      <c r="V193" s="405"/>
      <c r="W193" s="405"/>
      <c r="X193" s="405"/>
      <c r="Y193" s="405"/>
      <c r="Z193" s="405"/>
      <c r="AA193" s="405"/>
      <c r="AB193" s="405"/>
      <c r="AC193" s="389" t="e">
        <f t="shared" si="71"/>
        <v>#N/A</v>
      </c>
      <c r="AD193" s="390">
        <f t="shared" si="72"/>
        <v>0</v>
      </c>
      <c r="AE193" s="390">
        <f t="shared" si="73"/>
        <v>0</v>
      </c>
      <c r="AF193" s="391">
        <f t="shared" si="74"/>
        <v>0</v>
      </c>
      <c r="AG193" s="392">
        <f t="shared" si="75"/>
        <v>0</v>
      </c>
      <c r="AH193" s="392">
        <f t="shared" si="76"/>
        <v>0</v>
      </c>
      <c r="AI193" s="392">
        <f t="shared" si="77"/>
        <v>0</v>
      </c>
      <c r="AJ193" s="393">
        <f t="shared" si="78"/>
        <v>0</v>
      </c>
      <c r="AK193" s="391">
        <f t="shared" si="79"/>
        <v>0</v>
      </c>
      <c r="AL193" s="391">
        <f t="shared" si="80"/>
        <v>0</v>
      </c>
      <c r="AM193" s="391">
        <f t="shared" si="81"/>
        <v>0</v>
      </c>
      <c r="AN193" s="391">
        <f t="shared" si="82"/>
        <v>0</v>
      </c>
      <c r="AO193" s="403">
        <f t="shared" si="83"/>
        <v>0</v>
      </c>
      <c r="AP193" s="405"/>
      <c r="AQ193" s="390" t="e">
        <f t="shared" si="84"/>
        <v>#N/A</v>
      </c>
      <c r="AR193" s="408">
        <f t="shared" si="85"/>
        <v>0</v>
      </c>
      <c r="AS193" s="409" t="str">
        <f t="shared" si="70"/>
        <v/>
      </c>
      <c r="AT193" s="416"/>
    </row>
    <row r="194" spans="1:46" ht="15" x14ac:dyDescent="0.25">
      <c r="A194" s="592">
        <v>191</v>
      </c>
      <c r="B194" s="604"/>
      <c r="C194" s="302"/>
      <c r="D194" s="304"/>
      <c r="E194" s="306"/>
      <c r="F194" s="698"/>
      <c r="G194" s="304"/>
      <c r="H194" s="304"/>
      <c r="I194" s="304"/>
      <c r="J194" s="304"/>
      <c r="K194" s="307"/>
      <c r="L194" s="590" t="str">
        <f t="shared" si="69"/>
        <v/>
      </c>
      <c r="M194" s="416"/>
      <c r="N194" s="405"/>
      <c r="O194" s="468" t="str">
        <f t="shared" si="86"/>
        <v xml:space="preserve"> </v>
      </c>
      <c r="P194" s="468" t="str">
        <f t="shared" si="87"/>
        <v xml:space="preserve"> </v>
      </c>
      <c r="Q194" s="468" t="str">
        <f t="shared" si="88"/>
        <v xml:space="preserve"> </v>
      </c>
      <c r="R194" s="468" t="str">
        <f t="shared" si="89"/>
        <v xml:space="preserve"> </v>
      </c>
      <c r="S194" s="468" t="str">
        <f t="shared" si="90"/>
        <v xml:space="preserve"> </v>
      </c>
      <c r="T194" s="468" t="str">
        <f t="shared" si="91"/>
        <v xml:space="preserve"> </v>
      </c>
      <c r="U194" s="405"/>
      <c r="V194" s="405"/>
      <c r="W194" s="405"/>
      <c r="X194" s="405"/>
      <c r="Y194" s="405"/>
      <c r="Z194" s="405"/>
      <c r="AA194" s="405"/>
      <c r="AB194" s="405"/>
      <c r="AC194" s="389" t="e">
        <f t="shared" si="71"/>
        <v>#N/A</v>
      </c>
      <c r="AD194" s="390">
        <f t="shared" si="72"/>
        <v>0</v>
      </c>
      <c r="AE194" s="390">
        <f t="shared" si="73"/>
        <v>0</v>
      </c>
      <c r="AF194" s="391">
        <f t="shared" si="74"/>
        <v>0</v>
      </c>
      <c r="AG194" s="392">
        <f t="shared" si="75"/>
        <v>0</v>
      </c>
      <c r="AH194" s="392">
        <f t="shared" si="76"/>
        <v>0</v>
      </c>
      <c r="AI194" s="392">
        <f t="shared" si="77"/>
        <v>0</v>
      </c>
      <c r="AJ194" s="393">
        <f t="shared" si="78"/>
        <v>0</v>
      </c>
      <c r="AK194" s="391">
        <f t="shared" si="79"/>
        <v>0</v>
      </c>
      <c r="AL194" s="391">
        <f t="shared" si="80"/>
        <v>0</v>
      </c>
      <c r="AM194" s="391">
        <f t="shared" si="81"/>
        <v>0</v>
      </c>
      <c r="AN194" s="391">
        <f t="shared" si="82"/>
        <v>0</v>
      </c>
      <c r="AO194" s="403">
        <f t="shared" si="83"/>
        <v>0</v>
      </c>
      <c r="AP194" s="405"/>
      <c r="AQ194" s="390" t="e">
        <f t="shared" si="84"/>
        <v>#N/A</v>
      </c>
      <c r="AR194" s="408">
        <f t="shared" si="85"/>
        <v>0</v>
      </c>
      <c r="AS194" s="409" t="str">
        <f t="shared" si="70"/>
        <v/>
      </c>
      <c r="AT194" s="416"/>
    </row>
    <row r="195" spans="1:46" ht="15" x14ac:dyDescent="0.25">
      <c r="A195" s="592">
        <v>192</v>
      </c>
      <c r="B195" s="604"/>
      <c r="C195" s="302"/>
      <c r="D195" s="304"/>
      <c r="E195" s="306"/>
      <c r="F195" s="698"/>
      <c r="G195" s="304"/>
      <c r="H195" s="304"/>
      <c r="I195" s="304"/>
      <c r="J195" s="304"/>
      <c r="K195" s="307"/>
      <c r="L195" s="590" t="str">
        <f t="shared" si="69"/>
        <v/>
      </c>
      <c r="M195" s="416"/>
      <c r="N195" s="405"/>
      <c r="O195" s="468" t="str">
        <f t="shared" si="86"/>
        <v xml:space="preserve"> </v>
      </c>
      <c r="P195" s="468" t="str">
        <f t="shared" si="87"/>
        <v xml:space="preserve"> </v>
      </c>
      <c r="Q195" s="468" t="str">
        <f t="shared" si="88"/>
        <v xml:space="preserve"> </v>
      </c>
      <c r="R195" s="468" t="str">
        <f t="shared" si="89"/>
        <v xml:space="preserve"> </v>
      </c>
      <c r="S195" s="468" t="str">
        <f t="shared" si="90"/>
        <v xml:space="preserve"> </v>
      </c>
      <c r="T195" s="468" t="str">
        <f t="shared" si="91"/>
        <v xml:space="preserve"> </v>
      </c>
      <c r="U195" s="405"/>
      <c r="V195" s="405"/>
      <c r="W195" s="405"/>
      <c r="X195" s="405"/>
      <c r="Y195" s="405"/>
      <c r="Z195" s="405"/>
      <c r="AA195" s="405"/>
      <c r="AB195" s="405"/>
      <c r="AC195" s="389" t="e">
        <f t="shared" si="71"/>
        <v>#N/A</v>
      </c>
      <c r="AD195" s="390">
        <f t="shared" si="72"/>
        <v>0</v>
      </c>
      <c r="AE195" s="390">
        <f t="shared" si="73"/>
        <v>0</v>
      </c>
      <c r="AF195" s="391">
        <f t="shared" si="74"/>
        <v>0</v>
      </c>
      <c r="AG195" s="392">
        <f t="shared" si="75"/>
        <v>0</v>
      </c>
      <c r="AH195" s="392">
        <f t="shared" si="76"/>
        <v>0</v>
      </c>
      <c r="AI195" s="392">
        <f t="shared" si="77"/>
        <v>0</v>
      </c>
      <c r="AJ195" s="393">
        <f t="shared" si="78"/>
        <v>0</v>
      </c>
      <c r="AK195" s="391">
        <f t="shared" si="79"/>
        <v>0</v>
      </c>
      <c r="AL195" s="391">
        <f t="shared" si="80"/>
        <v>0</v>
      </c>
      <c r="AM195" s="391">
        <f t="shared" si="81"/>
        <v>0</v>
      </c>
      <c r="AN195" s="391">
        <f t="shared" si="82"/>
        <v>0</v>
      </c>
      <c r="AO195" s="403">
        <f t="shared" si="83"/>
        <v>0</v>
      </c>
      <c r="AP195" s="405"/>
      <c r="AQ195" s="390" t="e">
        <f t="shared" si="84"/>
        <v>#N/A</v>
      </c>
      <c r="AR195" s="408">
        <f t="shared" si="85"/>
        <v>0</v>
      </c>
      <c r="AS195" s="409" t="str">
        <f t="shared" si="70"/>
        <v/>
      </c>
      <c r="AT195" s="416"/>
    </row>
    <row r="196" spans="1:46" ht="15" x14ac:dyDescent="0.25">
      <c r="A196" s="592">
        <v>193</v>
      </c>
      <c r="B196" s="604"/>
      <c r="C196" s="302"/>
      <c r="D196" s="304"/>
      <c r="E196" s="306"/>
      <c r="F196" s="698"/>
      <c r="G196" s="304"/>
      <c r="H196" s="304"/>
      <c r="I196" s="304"/>
      <c r="J196" s="304"/>
      <c r="K196" s="307"/>
      <c r="L196" s="590" t="str">
        <f t="shared" ref="L196:L253" si="92">IF(B196="No","N/A",AS196)</f>
        <v/>
      </c>
      <c r="M196" s="416"/>
      <c r="N196" s="405"/>
      <c r="O196" s="468" t="str">
        <f t="shared" si="86"/>
        <v xml:space="preserve"> </v>
      </c>
      <c r="P196" s="468" t="str">
        <f t="shared" si="87"/>
        <v xml:space="preserve"> </v>
      </c>
      <c r="Q196" s="468" t="str">
        <f t="shared" si="88"/>
        <v xml:space="preserve"> </v>
      </c>
      <c r="R196" s="468" t="str">
        <f t="shared" si="89"/>
        <v xml:space="preserve"> </v>
      </c>
      <c r="S196" s="468" t="str">
        <f t="shared" si="90"/>
        <v xml:space="preserve"> </v>
      </c>
      <c r="T196" s="468" t="str">
        <f t="shared" si="91"/>
        <v xml:space="preserve"> </v>
      </c>
      <c r="U196" s="405"/>
      <c r="V196" s="405"/>
      <c r="W196" s="405"/>
      <c r="X196" s="405"/>
      <c r="Y196" s="405"/>
      <c r="Z196" s="405"/>
      <c r="AA196" s="405"/>
      <c r="AB196" s="405"/>
      <c r="AC196" s="389" t="e">
        <f t="shared" si="71"/>
        <v>#N/A</v>
      </c>
      <c r="AD196" s="390">
        <f t="shared" si="72"/>
        <v>0</v>
      </c>
      <c r="AE196" s="390">
        <f t="shared" si="73"/>
        <v>0</v>
      </c>
      <c r="AF196" s="391">
        <f t="shared" si="74"/>
        <v>0</v>
      </c>
      <c r="AG196" s="392">
        <f t="shared" si="75"/>
        <v>0</v>
      </c>
      <c r="AH196" s="392">
        <f t="shared" si="76"/>
        <v>0</v>
      </c>
      <c r="AI196" s="392">
        <f t="shared" si="77"/>
        <v>0</v>
      </c>
      <c r="AJ196" s="393">
        <f t="shared" si="78"/>
        <v>0</v>
      </c>
      <c r="AK196" s="391">
        <f t="shared" si="79"/>
        <v>0</v>
      </c>
      <c r="AL196" s="391">
        <f t="shared" si="80"/>
        <v>0</v>
      </c>
      <c r="AM196" s="391">
        <f t="shared" si="81"/>
        <v>0</v>
      </c>
      <c r="AN196" s="391">
        <f t="shared" si="82"/>
        <v>0</v>
      </c>
      <c r="AO196" s="403">
        <f t="shared" si="83"/>
        <v>0</v>
      </c>
      <c r="AP196" s="405"/>
      <c r="AQ196" s="390" t="e">
        <f t="shared" si="84"/>
        <v>#N/A</v>
      </c>
      <c r="AR196" s="408">
        <f t="shared" si="85"/>
        <v>0</v>
      </c>
      <c r="AS196" s="409" t="str">
        <f t="shared" ref="AS196:AS253" si="93">IFERROR(IF(AR196 &gt; AQ196, "No", IF(AR196 &lt; AQ196, "Yes", IF(AR196 = AQ196, "Yes", ""))), "")</f>
        <v/>
      </c>
      <c r="AT196" s="416"/>
    </row>
    <row r="197" spans="1:46" ht="15" x14ac:dyDescent="0.25">
      <c r="A197" s="592">
        <v>194</v>
      </c>
      <c r="B197" s="604"/>
      <c r="C197" s="302"/>
      <c r="D197" s="304"/>
      <c r="E197" s="306"/>
      <c r="F197" s="698"/>
      <c r="G197" s="304"/>
      <c r="H197" s="304"/>
      <c r="I197" s="304"/>
      <c r="J197" s="304"/>
      <c r="K197" s="307"/>
      <c r="L197" s="590" t="str">
        <f t="shared" si="92"/>
        <v/>
      </c>
      <c r="M197" s="416"/>
      <c r="N197" s="405"/>
      <c r="O197" s="468" t="str">
        <f t="shared" si="86"/>
        <v xml:space="preserve"> </v>
      </c>
      <c r="P197" s="468" t="str">
        <f t="shared" si="87"/>
        <v xml:space="preserve"> </v>
      </c>
      <c r="Q197" s="468" t="str">
        <f t="shared" si="88"/>
        <v xml:space="preserve"> </v>
      </c>
      <c r="R197" s="468" t="str">
        <f t="shared" si="89"/>
        <v xml:space="preserve"> </v>
      </c>
      <c r="S197" s="468" t="str">
        <f t="shared" si="90"/>
        <v xml:space="preserve"> </v>
      </c>
      <c r="T197" s="468" t="str">
        <f t="shared" si="91"/>
        <v xml:space="preserve"> </v>
      </c>
      <c r="U197" s="405"/>
      <c r="V197" s="405"/>
      <c r="W197" s="405"/>
      <c r="X197" s="405"/>
      <c r="Y197" s="405"/>
      <c r="Z197" s="405"/>
      <c r="AA197" s="405"/>
      <c r="AB197" s="405"/>
      <c r="AC197" s="389" t="e">
        <f t="shared" si="71"/>
        <v>#N/A</v>
      </c>
      <c r="AD197" s="390">
        <f t="shared" si="72"/>
        <v>0</v>
      </c>
      <c r="AE197" s="390">
        <f t="shared" si="73"/>
        <v>0</v>
      </c>
      <c r="AF197" s="391">
        <f t="shared" si="74"/>
        <v>0</v>
      </c>
      <c r="AG197" s="392">
        <f t="shared" si="75"/>
        <v>0</v>
      </c>
      <c r="AH197" s="392">
        <f t="shared" si="76"/>
        <v>0</v>
      </c>
      <c r="AI197" s="392">
        <f t="shared" si="77"/>
        <v>0</v>
      </c>
      <c r="AJ197" s="393">
        <f t="shared" si="78"/>
        <v>0</v>
      </c>
      <c r="AK197" s="391">
        <f t="shared" si="79"/>
        <v>0</v>
      </c>
      <c r="AL197" s="391">
        <f t="shared" si="80"/>
        <v>0</v>
      </c>
      <c r="AM197" s="391">
        <f t="shared" si="81"/>
        <v>0</v>
      </c>
      <c r="AN197" s="391">
        <f t="shared" si="82"/>
        <v>0</v>
      </c>
      <c r="AO197" s="403">
        <f t="shared" si="83"/>
        <v>0</v>
      </c>
      <c r="AP197" s="405"/>
      <c r="AQ197" s="390" t="e">
        <f t="shared" si="84"/>
        <v>#N/A</v>
      </c>
      <c r="AR197" s="408">
        <f t="shared" si="85"/>
        <v>0</v>
      </c>
      <c r="AS197" s="409" t="str">
        <f t="shared" si="93"/>
        <v/>
      </c>
      <c r="AT197" s="416"/>
    </row>
    <row r="198" spans="1:46" ht="15" x14ac:dyDescent="0.25">
      <c r="A198" s="592">
        <v>195</v>
      </c>
      <c r="B198" s="604"/>
      <c r="C198" s="302"/>
      <c r="D198" s="304"/>
      <c r="E198" s="306"/>
      <c r="F198" s="698"/>
      <c r="G198" s="304"/>
      <c r="H198" s="304"/>
      <c r="I198" s="304"/>
      <c r="J198" s="304"/>
      <c r="K198" s="307"/>
      <c r="L198" s="590" t="str">
        <f t="shared" si="92"/>
        <v/>
      </c>
      <c r="M198" s="416"/>
      <c r="N198" s="405"/>
      <c r="O198" s="468" t="str">
        <f t="shared" si="86"/>
        <v xml:space="preserve"> </v>
      </c>
      <c r="P198" s="468" t="str">
        <f t="shared" si="87"/>
        <v xml:space="preserve"> </v>
      </c>
      <c r="Q198" s="468" t="str">
        <f t="shared" si="88"/>
        <v xml:space="preserve"> </v>
      </c>
      <c r="R198" s="468" t="str">
        <f t="shared" si="89"/>
        <v xml:space="preserve"> </v>
      </c>
      <c r="S198" s="468" t="str">
        <f t="shared" si="90"/>
        <v xml:space="preserve"> </v>
      </c>
      <c r="T198" s="468" t="str">
        <f t="shared" si="91"/>
        <v xml:space="preserve"> </v>
      </c>
      <c r="U198" s="405"/>
      <c r="V198" s="405"/>
      <c r="W198" s="405"/>
      <c r="X198" s="405"/>
      <c r="Y198" s="405"/>
      <c r="Z198" s="405"/>
      <c r="AA198" s="405"/>
      <c r="AB198" s="405"/>
      <c r="AC198" s="389" t="e">
        <f t="shared" si="71"/>
        <v>#N/A</v>
      </c>
      <c r="AD198" s="390">
        <f t="shared" si="72"/>
        <v>0</v>
      </c>
      <c r="AE198" s="390">
        <f t="shared" si="73"/>
        <v>0</v>
      </c>
      <c r="AF198" s="391">
        <f t="shared" si="74"/>
        <v>0</v>
      </c>
      <c r="AG198" s="392">
        <f t="shared" si="75"/>
        <v>0</v>
      </c>
      <c r="AH198" s="392">
        <f t="shared" si="76"/>
        <v>0</v>
      </c>
      <c r="AI198" s="392">
        <f t="shared" si="77"/>
        <v>0</v>
      </c>
      <c r="AJ198" s="393">
        <f t="shared" si="78"/>
        <v>0</v>
      </c>
      <c r="AK198" s="391">
        <f t="shared" si="79"/>
        <v>0</v>
      </c>
      <c r="AL198" s="391">
        <f t="shared" si="80"/>
        <v>0</v>
      </c>
      <c r="AM198" s="391">
        <f t="shared" si="81"/>
        <v>0</v>
      </c>
      <c r="AN198" s="391">
        <f t="shared" si="82"/>
        <v>0</v>
      </c>
      <c r="AO198" s="403">
        <f t="shared" si="83"/>
        <v>0</v>
      </c>
      <c r="AP198" s="405"/>
      <c r="AQ198" s="390" t="e">
        <f t="shared" si="84"/>
        <v>#N/A</v>
      </c>
      <c r="AR198" s="408">
        <f t="shared" si="85"/>
        <v>0</v>
      </c>
      <c r="AS198" s="409" t="str">
        <f t="shared" si="93"/>
        <v/>
      </c>
      <c r="AT198" s="416"/>
    </row>
    <row r="199" spans="1:46" ht="15" x14ac:dyDescent="0.25">
      <c r="A199" s="592">
        <v>196</v>
      </c>
      <c r="B199" s="604"/>
      <c r="C199" s="302"/>
      <c r="D199" s="304"/>
      <c r="E199" s="306"/>
      <c r="F199" s="698"/>
      <c r="G199" s="304"/>
      <c r="H199" s="304"/>
      <c r="I199" s="304"/>
      <c r="J199" s="304"/>
      <c r="K199" s="307"/>
      <c r="L199" s="590" t="str">
        <f t="shared" si="92"/>
        <v/>
      </c>
      <c r="M199" s="416"/>
      <c r="N199" s="405"/>
      <c r="O199" s="468" t="str">
        <f t="shared" si="86"/>
        <v xml:space="preserve"> </v>
      </c>
      <c r="P199" s="468" t="str">
        <f t="shared" si="87"/>
        <v xml:space="preserve"> </v>
      </c>
      <c r="Q199" s="468" t="str">
        <f t="shared" si="88"/>
        <v xml:space="preserve"> </v>
      </c>
      <c r="R199" s="468" t="str">
        <f t="shared" si="89"/>
        <v xml:space="preserve"> </v>
      </c>
      <c r="S199" s="468" t="str">
        <f t="shared" si="90"/>
        <v xml:space="preserve"> </v>
      </c>
      <c r="T199" s="468" t="str">
        <f t="shared" si="91"/>
        <v xml:space="preserve"> </v>
      </c>
      <c r="U199" s="405"/>
      <c r="V199" s="405"/>
      <c r="W199" s="405"/>
      <c r="X199" s="405"/>
      <c r="Y199" s="405"/>
      <c r="Z199" s="405"/>
      <c r="AA199" s="405"/>
      <c r="AB199" s="405"/>
      <c r="AC199" s="389" t="e">
        <f t="shared" si="71"/>
        <v>#N/A</v>
      </c>
      <c r="AD199" s="390">
        <f t="shared" si="72"/>
        <v>0</v>
      </c>
      <c r="AE199" s="390">
        <f t="shared" si="73"/>
        <v>0</v>
      </c>
      <c r="AF199" s="391">
        <f t="shared" si="74"/>
        <v>0</v>
      </c>
      <c r="AG199" s="392">
        <f t="shared" si="75"/>
        <v>0</v>
      </c>
      <c r="AH199" s="392">
        <f t="shared" si="76"/>
        <v>0</v>
      </c>
      <c r="AI199" s="392">
        <f t="shared" si="77"/>
        <v>0</v>
      </c>
      <c r="AJ199" s="393">
        <f t="shared" si="78"/>
        <v>0</v>
      </c>
      <c r="AK199" s="391">
        <f t="shared" si="79"/>
        <v>0</v>
      </c>
      <c r="AL199" s="391">
        <f t="shared" si="80"/>
        <v>0</v>
      </c>
      <c r="AM199" s="391">
        <f t="shared" si="81"/>
        <v>0</v>
      </c>
      <c r="AN199" s="391">
        <f t="shared" si="82"/>
        <v>0</v>
      </c>
      <c r="AO199" s="403">
        <f t="shared" si="83"/>
        <v>0</v>
      </c>
      <c r="AP199" s="405"/>
      <c r="AQ199" s="390" t="e">
        <f t="shared" si="84"/>
        <v>#N/A</v>
      </c>
      <c r="AR199" s="408">
        <f t="shared" si="85"/>
        <v>0</v>
      </c>
      <c r="AS199" s="409" t="str">
        <f t="shared" si="93"/>
        <v/>
      </c>
      <c r="AT199" s="416"/>
    </row>
    <row r="200" spans="1:46" ht="15" x14ac:dyDescent="0.25">
      <c r="A200" s="592">
        <v>197</v>
      </c>
      <c r="B200" s="604"/>
      <c r="C200" s="302"/>
      <c r="D200" s="304"/>
      <c r="E200" s="306"/>
      <c r="F200" s="698"/>
      <c r="G200" s="304"/>
      <c r="H200" s="304"/>
      <c r="I200" s="304"/>
      <c r="J200" s="304"/>
      <c r="K200" s="307"/>
      <c r="L200" s="590" t="str">
        <f t="shared" si="92"/>
        <v/>
      </c>
      <c r="M200" s="416"/>
      <c r="N200" s="405"/>
      <c r="O200" s="468" t="str">
        <f t="shared" si="86"/>
        <v xml:space="preserve"> </v>
      </c>
      <c r="P200" s="468" t="str">
        <f t="shared" si="87"/>
        <v xml:space="preserve"> </v>
      </c>
      <c r="Q200" s="468" t="str">
        <f t="shared" si="88"/>
        <v xml:space="preserve"> </v>
      </c>
      <c r="R200" s="468" t="str">
        <f t="shared" si="89"/>
        <v xml:space="preserve"> </v>
      </c>
      <c r="S200" s="468" t="str">
        <f t="shared" si="90"/>
        <v xml:space="preserve"> </v>
      </c>
      <c r="T200" s="468" t="str">
        <f t="shared" si="91"/>
        <v xml:space="preserve"> </v>
      </c>
      <c r="U200" s="405"/>
      <c r="V200" s="405"/>
      <c r="W200" s="405"/>
      <c r="X200" s="405"/>
      <c r="Y200" s="405"/>
      <c r="Z200" s="405"/>
      <c r="AA200" s="405"/>
      <c r="AB200" s="405"/>
      <c r="AC200" s="389" t="e">
        <f t="shared" si="71"/>
        <v>#N/A</v>
      </c>
      <c r="AD200" s="390">
        <f t="shared" si="72"/>
        <v>0</v>
      </c>
      <c r="AE200" s="390">
        <f t="shared" si="73"/>
        <v>0</v>
      </c>
      <c r="AF200" s="391">
        <f t="shared" si="74"/>
        <v>0</v>
      </c>
      <c r="AG200" s="392">
        <f t="shared" si="75"/>
        <v>0</v>
      </c>
      <c r="AH200" s="392">
        <f t="shared" si="76"/>
        <v>0</v>
      </c>
      <c r="AI200" s="392">
        <f t="shared" si="77"/>
        <v>0</v>
      </c>
      <c r="AJ200" s="393">
        <f t="shared" si="78"/>
        <v>0</v>
      </c>
      <c r="AK200" s="391">
        <f t="shared" si="79"/>
        <v>0</v>
      </c>
      <c r="AL200" s="391">
        <f t="shared" si="80"/>
        <v>0</v>
      </c>
      <c r="AM200" s="391">
        <f t="shared" si="81"/>
        <v>0</v>
      </c>
      <c r="AN200" s="391">
        <f t="shared" si="82"/>
        <v>0</v>
      </c>
      <c r="AO200" s="403">
        <f t="shared" si="83"/>
        <v>0</v>
      </c>
      <c r="AP200" s="405"/>
      <c r="AQ200" s="390" t="e">
        <f t="shared" si="84"/>
        <v>#N/A</v>
      </c>
      <c r="AR200" s="408">
        <f t="shared" si="85"/>
        <v>0</v>
      </c>
      <c r="AS200" s="409" t="str">
        <f t="shared" si="93"/>
        <v/>
      </c>
      <c r="AT200" s="416"/>
    </row>
    <row r="201" spans="1:46" ht="15" x14ac:dyDescent="0.25">
      <c r="A201" s="592">
        <v>198</v>
      </c>
      <c r="B201" s="604"/>
      <c r="C201" s="302"/>
      <c r="D201" s="304"/>
      <c r="E201" s="306"/>
      <c r="F201" s="698"/>
      <c r="G201" s="304"/>
      <c r="H201" s="304"/>
      <c r="I201" s="304"/>
      <c r="J201" s="304"/>
      <c r="K201" s="307"/>
      <c r="L201" s="590" t="str">
        <f t="shared" si="92"/>
        <v/>
      </c>
      <c r="M201" s="416"/>
      <c r="N201" s="405"/>
      <c r="O201" s="468" t="str">
        <f t="shared" si="86"/>
        <v xml:space="preserve"> </v>
      </c>
      <c r="P201" s="468" t="str">
        <f t="shared" si="87"/>
        <v xml:space="preserve"> </v>
      </c>
      <c r="Q201" s="468" t="str">
        <f t="shared" si="88"/>
        <v xml:space="preserve"> </v>
      </c>
      <c r="R201" s="468" t="str">
        <f t="shared" si="89"/>
        <v xml:space="preserve"> </v>
      </c>
      <c r="S201" s="468" t="str">
        <f t="shared" si="90"/>
        <v xml:space="preserve"> </v>
      </c>
      <c r="T201" s="468" t="str">
        <f t="shared" si="91"/>
        <v xml:space="preserve"> </v>
      </c>
      <c r="U201" s="405"/>
      <c r="V201" s="405"/>
      <c r="W201" s="405"/>
      <c r="X201" s="405"/>
      <c r="Y201" s="405"/>
      <c r="Z201" s="405"/>
      <c r="AA201" s="405"/>
      <c r="AB201" s="405"/>
      <c r="AC201" s="389" t="e">
        <f t="shared" si="71"/>
        <v>#N/A</v>
      </c>
      <c r="AD201" s="390">
        <f t="shared" si="72"/>
        <v>0</v>
      </c>
      <c r="AE201" s="390">
        <f t="shared" si="73"/>
        <v>0</v>
      </c>
      <c r="AF201" s="391">
        <f t="shared" si="74"/>
        <v>0</v>
      </c>
      <c r="AG201" s="392">
        <f t="shared" si="75"/>
        <v>0</v>
      </c>
      <c r="AH201" s="392">
        <f t="shared" si="76"/>
        <v>0</v>
      </c>
      <c r="AI201" s="392">
        <f t="shared" si="77"/>
        <v>0</v>
      </c>
      <c r="AJ201" s="393">
        <f t="shared" si="78"/>
        <v>0</v>
      </c>
      <c r="AK201" s="391">
        <f t="shared" si="79"/>
        <v>0</v>
      </c>
      <c r="AL201" s="391">
        <f t="shared" si="80"/>
        <v>0</v>
      </c>
      <c r="AM201" s="391">
        <f t="shared" si="81"/>
        <v>0</v>
      </c>
      <c r="AN201" s="391">
        <f t="shared" si="82"/>
        <v>0</v>
      </c>
      <c r="AO201" s="403">
        <f t="shared" si="83"/>
        <v>0</v>
      </c>
      <c r="AP201" s="405"/>
      <c r="AQ201" s="390" t="e">
        <f t="shared" si="84"/>
        <v>#N/A</v>
      </c>
      <c r="AR201" s="408">
        <f t="shared" si="85"/>
        <v>0</v>
      </c>
      <c r="AS201" s="409" t="str">
        <f t="shared" si="93"/>
        <v/>
      </c>
      <c r="AT201" s="416"/>
    </row>
    <row r="202" spans="1:46" ht="15" x14ac:dyDescent="0.25">
      <c r="A202" s="592">
        <v>199</v>
      </c>
      <c r="B202" s="604"/>
      <c r="C202" s="302"/>
      <c r="D202" s="304"/>
      <c r="E202" s="306"/>
      <c r="F202" s="698"/>
      <c r="G202" s="304"/>
      <c r="H202" s="304"/>
      <c r="I202" s="304"/>
      <c r="J202" s="304"/>
      <c r="K202" s="307"/>
      <c r="L202" s="590" t="str">
        <f t="shared" si="92"/>
        <v/>
      </c>
      <c r="M202" s="416"/>
      <c r="N202" s="405"/>
      <c r="O202" s="468" t="str">
        <f t="shared" si="86"/>
        <v xml:space="preserve"> </v>
      </c>
      <c r="P202" s="468" t="str">
        <f t="shared" si="87"/>
        <v xml:space="preserve"> </v>
      </c>
      <c r="Q202" s="468" t="str">
        <f t="shared" si="88"/>
        <v xml:space="preserve"> </v>
      </c>
      <c r="R202" s="468" t="str">
        <f t="shared" si="89"/>
        <v xml:space="preserve"> </v>
      </c>
      <c r="S202" s="468" t="str">
        <f t="shared" si="90"/>
        <v xml:space="preserve"> </v>
      </c>
      <c r="T202" s="468" t="str">
        <f t="shared" si="91"/>
        <v xml:space="preserve"> </v>
      </c>
      <c r="U202" s="405"/>
      <c r="V202" s="405"/>
      <c r="W202" s="405"/>
      <c r="X202" s="405"/>
      <c r="Y202" s="405"/>
      <c r="Z202" s="405"/>
      <c r="AA202" s="405"/>
      <c r="AB202" s="405"/>
      <c r="AC202" s="389" t="e">
        <f t="shared" si="71"/>
        <v>#N/A</v>
      </c>
      <c r="AD202" s="390">
        <f t="shared" si="72"/>
        <v>0</v>
      </c>
      <c r="AE202" s="390">
        <f t="shared" si="73"/>
        <v>0</v>
      </c>
      <c r="AF202" s="391">
        <f t="shared" si="74"/>
        <v>0</v>
      </c>
      <c r="AG202" s="392">
        <f t="shared" si="75"/>
        <v>0</v>
      </c>
      <c r="AH202" s="392">
        <f t="shared" si="76"/>
        <v>0</v>
      </c>
      <c r="AI202" s="392">
        <f t="shared" si="77"/>
        <v>0</v>
      </c>
      <c r="AJ202" s="393">
        <f t="shared" si="78"/>
        <v>0</v>
      </c>
      <c r="AK202" s="391">
        <f t="shared" si="79"/>
        <v>0</v>
      </c>
      <c r="AL202" s="391">
        <f t="shared" si="80"/>
        <v>0</v>
      </c>
      <c r="AM202" s="391">
        <f t="shared" si="81"/>
        <v>0</v>
      </c>
      <c r="AN202" s="391">
        <f t="shared" si="82"/>
        <v>0</v>
      </c>
      <c r="AO202" s="403">
        <f t="shared" si="83"/>
        <v>0</v>
      </c>
      <c r="AP202" s="405"/>
      <c r="AQ202" s="390" t="e">
        <f t="shared" si="84"/>
        <v>#N/A</v>
      </c>
      <c r="AR202" s="408">
        <f t="shared" si="85"/>
        <v>0</v>
      </c>
      <c r="AS202" s="409" t="str">
        <f t="shared" si="93"/>
        <v/>
      </c>
      <c r="AT202" s="416"/>
    </row>
    <row r="203" spans="1:46" ht="15" x14ac:dyDescent="0.25">
      <c r="A203" s="592">
        <v>200</v>
      </c>
      <c r="B203" s="604"/>
      <c r="C203" s="302"/>
      <c r="D203" s="304"/>
      <c r="E203" s="306"/>
      <c r="F203" s="698"/>
      <c r="G203" s="304"/>
      <c r="H203" s="304"/>
      <c r="I203" s="304"/>
      <c r="J203" s="304"/>
      <c r="K203" s="307"/>
      <c r="L203" s="590" t="str">
        <f t="shared" si="92"/>
        <v/>
      </c>
      <c r="M203" s="416"/>
      <c r="N203" s="405"/>
      <c r="O203" s="468" t="str">
        <f t="shared" si="86"/>
        <v xml:space="preserve"> </v>
      </c>
      <c r="P203" s="468" t="str">
        <f t="shared" si="87"/>
        <v xml:space="preserve"> </v>
      </c>
      <c r="Q203" s="468" t="str">
        <f t="shared" si="88"/>
        <v xml:space="preserve"> </v>
      </c>
      <c r="R203" s="468" t="str">
        <f t="shared" si="89"/>
        <v xml:space="preserve"> </v>
      </c>
      <c r="S203" s="468" t="str">
        <f t="shared" si="90"/>
        <v xml:space="preserve"> </v>
      </c>
      <c r="T203" s="468" t="str">
        <f t="shared" si="91"/>
        <v xml:space="preserve"> </v>
      </c>
      <c r="U203" s="405"/>
      <c r="V203" s="405"/>
      <c r="W203" s="405"/>
      <c r="X203" s="405"/>
      <c r="Y203" s="405"/>
      <c r="Z203" s="405"/>
      <c r="AA203" s="405"/>
      <c r="AB203" s="405"/>
      <c r="AC203" s="389" t="e">
        <f t="shared" si="71"/>
        <v>#N/A</v>
      </c>
      <c r="AD203" s="390">
        <f t="shared" si="72"/>
        <v>0</v>
      </c>
      <c r="AE203" s="390">
        <f t="shared" si="73"/>
        <v>0</v>
      </c>
      <c r="AF203" s="391">
        <f t="shared" si="74"/>
        <v>0</v>
      </c>
      <c r="AG203" s="392">
        <f t="shared" si="75"/>
        <v>0</v>
      </c>
      <c r="AH203" s="392">
        <f t="shared" si="76"/>
        <v>0</v>
      </c>
      <c r="AI203" s="392">
        <f t="shared" si="77"/>
        <v>0</v>
      </c>
      <c r="AJ203" s="393">
        <f t="shared" si="78"/>
        <v>0</v>
      </c>
      <c r="AK203" s="391">
        <f t="shared" si="79"/>
        <v>0</v>
      </c>
      <c r="AL203" s="391">
        <f t="shared" si="80"/>
        <v>0</v>
      </c>
      <c r="AM203" s="391">
        <f t="shared" si="81"/>
        <v>0</v>
      </c>
      <c r="AN203" s="391">
        <f t="shared" si="82"/>
        <v>0</v>
      </c>
      <c r="AO203" s="403">
        <f t="shared" si="83"/>
        <v>0</v>
      </c>
      <c r="AP203" s="405"/>
      <c r="AQ203" s="390" t="e">
        <f t="shared" si="84"/>
        <v>#N/A</v>
      </c>
      <c r="AR203" s="408">
        <f t="shared" si="85"/>
        <v>0</v>
      </c>
      <c r="AS203" s="409" t="str">
        <f t="shared" si="93"/>
        <v/>
      </c>
      <c r="AT203" s="416"/>
    </row>
    <row r="204" spans="1:46" ht="15" x14ac:dyDescent="0.25">
      <c r="A204" s="592">
        <v>201</v>
      </c>
      <c r="B204" s="604"/>
      <c r="C204" s="302"/>
      <c r="D204" s="304"/>
      <c r="E204" s="306"/>
      <c r="F204" s="698"/>
      <c r="G204" s="304"/>
      <c r="H204" s="304"/>
      <c r="I204" s="304"/>
      <c r="J204" s="304"/>
      <c r="K204" s="307"/>
      <c r="L204" s="590" t="str">
        <f t="shared" si="92"/>
        <v/>
      </c>
      <c r="M204" s="416"/>
      <c r="N204" s="405"/>
      <c r="O204" s="468" t="str">
        <f t="shared" si="86"/>
        <v xml:space="preserve"> </v>
      </c>
      <c r="P204" s="468" t="str">
        <f t="shared" si="87"/>
        <v xml:space="preserve"> </v>
      </c>
      <c r="Q204" s="468" t="str">
        <f t="shared" si="88"/>
        <v xml:space="preserve"> </v>
      </c>
      <c r="R204" s="468" t="str">
        <f t="shared" si="89"/>
        <v xml:space="preserve"> </v>
      </c>
      <c r="S204" s="468" t="str">
        <f t="shared" si="90"/>
        <v xml:space="preserve"> </v>
      </c>
      <c r="T204" s="468" t="str">
        <f t="shared" si="91"/>
        <v xml:space="preserve"> </v>
      </c>
      <c r="U204" s="405"/>
      <c r="V204" s="405"/>
      <c r="W204" s="405"/>
      <c r="X204" s="405"/>
      <c r="Y204" s="405"/>
      <c r="Z204" s="405"/>
      <c r="AA204" s="405"/>
      <c r="AB204" s="405"/>
      <c r="AC204" s="389" t="e">
        <f t="shared" si="71"/>
        <v>#N/A</v>
      </c>
      <c r="AD204" s="390">
        <f t="shared" si="72"/>
        <v>0</v>
      </c>
      <c r="AE204" s="390">
        <f t="shared" si="73"/>
        <v>0</v>
      </c>
      <c r="AF204" s="391">
        <f t="shared" si="74"/>
        <v>0</v>
      </c>
      <c r="AG204" s="392">
        <f t="shared" si="75"/>
        <v>0</v>
      </c>
      <c r="AH204" s="392">
        <f t="shared" si="76"/>
        <v>0</v>
      </c>
      <c r="AI204" s="392">
        <f t="shared" si="77"/>
        <v>0</v>
      </c>
      <c r="AJ204" s="393">
        <f t="shared" si="78"/>
        <v>0</v>
      </c>
      <c r="AK204" s="391">
        <f t="shared" si="79"/>
        <v>0</v>
      </c>
      <c r="AL204" s="391">
        <f t="shared" si="80"/>
        <v>0</v>
      </c>
      <c r="AM204" s="391">
        <f t="shared" si="81"/>
        <v>0</v>
      </c>
      <c r="AN204" s="391">
        <f t="shared" si="82"/>
        <v>0</v>
      </c>
      <c r="AO204" s="403">
        <f t="shared" si="83"/>
        <v>0</v>
      </c>
      <c r="AP204" s="405"/>
      <c r="AQ204" s="390" t="e">
        <f t="shared" si="84"/>
        <v>#N/A</v>
      </c>
      <c r="AR204" s="408">
        <f t="shared" si="85"/>
        <v>0</v>
      </c>
      <c r="AS204" s="409" t="str">
        <f t="shared" si="93"/>
        <v/>
      </c>
      <c r="AT204" s="416"/>
    </row>
    <row r="205" spans="1:46" ht="15" x14ac:dyDescent="0.25">
      <c r="A205" s="592">
        <v>202</v>
      </c>
      <c r="B205" s="604"/>
      <c r="C205" s="302"/>
      <c r="D205" s="304"/>
      <c r="E205" s="306"/>
      <c r="F205" s="698"/>
      <c r="G205" s="304"/>
      <c r="H205" s="304"/>
      <c r="I205" s="304"/>
      <c r="J205" s="304"/>
      <c r="K205" s="307"/>
      <c r="L205" s="590" t="str">
        <f t="shared" si="92"/>
        <v/>
      </c>
      <c r="M205" s="416"/>
      <c r="N205" s="405"/>
      <c r="O205" s="468" t="str">
        <f t="shared" si="86"/>
        <v xml:space="preserve"> </v>
      </c>
      <c r="P205" s="468" t="str">
        <f t="shared" si="87"/>
        <v xml:space="preserve"> </v>
      </c>
      <c r="Q205" s="468" t="str">
        <f t="shared" si="88"/>
        <v xml:space="preserve"> </v>
      </c>
      <c r="R205" s="468" t="str">
        <f t="shared" si="89"/>
        <v xml:space="preserve"> </v>
      </c>
      <c r="S205" s="468" t="str">
        <f t="shared" si="90"/>
        <v xml:space="preserve"> </v>
      </c>
      <c r="T205" s="468" t="str">
        <f t="shared" si="91"/>
        <v xml:space="preserve"> </v>
      </c>
      <c r="U205" s="405"/>
      <c r="V205" s="405"/>
      <c r="W205" s="405"/>
      <c r="X205" s="405"/>
      <c r="Y205" s="405"/>
      <c r="Z205" s="405"/>
      <c r="AA205" s="405"/>
      <c r="AB205" s="405"/>
      <c r="AC205" s="389" t="e">
        <f t="shared" si="71"/>
        <v>#N/A</v>
      </c>
      <c r="AD205" s="390">
        <f t="shared" si="72"/>
        <v>0</v>
      </c>
      <c r="AE205" s="390">
        <f t="shared" si="73"/>
        <v>0</v>
      </c>
      <c r="AF205" s="391">
        <f t="shared" si="74"/>
        <v>0</v>
      </c>
      <c r="AG205" s="392">
        <f t="shared" si="75"/>
        <v>0</v>
      </c>
      <c r="AH205" s="392">
        <f t="shared" si="76"/>
        <v>0</v>
      </c>
      <c r="AI205" s="392">
        <f t="shared" si="77"/>
        <v>0</v>
      </c>
      <c r="AJ205" s="393">
        <f t="shared" si="78"/>
        <v>0</v>
      </c>
      <c r="AK205" s="391">
        <f t="shared" si="79"/>
        <v>0</v>
      </c>
      <c r="AL205" s="391">
        <f t="shared" si="80"/>
        <v>0</v>
      </c>
      <c r="AM205" s="391">
        <f t="shared" si="81"/>
        <v>0</v>
      </c>
      <c r="AN205" s="391">
        <f t="shared" si="82"/>
        <v>0</v>
      </c>
      <c r="AO205" s="403">
        <f t="shared" si="83"/>
        <v>0</v>
      </c>
      <c r="AP205" s="405"/>
      <c r="AQ205" s="390" t="e">
        <f t="shared" si="84"/>
        <v>#N/A</v>
      </c>
      <c r="AR205" s="408">
        <f t="shared" si="85"/>
        <v>0</v>
      </c>
      <c r="AS205" s="409" t="str">
        <f t="shared" si="93"/>
        <v/>
      </c>
      <c r="AT205" s="416"/>
    </row>
    <row r="206" spans="1:46" ht="15" x14ac:dyDescent="0.25">
      <c r="A206" s="592">
        <v>203</v>
      </c>
      <c r="B206" s="604"/>
      <c r="C206" s="302"/>
      <c r="D206" s="304"/>
      <c r="E206" s="306"/>
      <c r="F206" s="698"/>
      <c r="G206" s="304"/>
      <c r="H206" s="304"/>
      <c r="I206" s="304"/>
      <c r="J206" s="304"/>
      <c r="K206" s="307"/>
      <c r="L206" s="590" t="str">
        <f t="shared" si="92"/>
        <v/>
      </c>
      <c r="M206" s="416"/>
      <c r="N206" s="405"/>
      <c r="O206" s="468" t="str">
        <f t="shared" si="86"/>
        <v xml:space="preserve"> </v>
      </c>
      <c r="P206" s="468" t="str">
        <f t="shared" si="87"/>
        <v xml:space="preserve"> </v>
      </c>
      <c r="Q206" s="468" t="str">
        <f t="shared" si="88"/>
        <v xml:space="preserve"> </v>
      </c>
      <c r="R206" s="468" t="str">
        <f t="shared" si="89"/>
        <v xml:space="preserve"> </v>
      </c>
      <c r="S206" s="468" t="str">
        <f t="shared" si="90"/>
        <v xml:space="preserve"> </v>
      </c>
      <c r="T206" s="468" t="str">
        <f t="shared" si="91"/>
        <v xml:space="preserve"> </v>
      </c>
      <c r="U206" s="405"/>
      <c r="V206" s="405"/>
      <c r="W206" s="405"/>
      <c r="X206" s="405"/>
      <c r="Y206" s="405"/>
      <c r="Z206" s="405"/>
      <c r="AA206" s="405"/>
      <c r="AB206" s="405"/>
      <c r="AC206" s="389" t="e">
        <f t="shared" si="71"/>
        <v>#N/A</v>
      </c>
      <c r="AD206" s="390">
        <f t="shared" si="72"/>
        <v>0</v>
      </c>
      <c r="AE206" s="390">
        <f t="shared" si="73"/>
        <v>0</v>
      </c>
      <c r="AF206" s="391">
        <f t="shared" si="74"/>
        <v>0</v>
      </c>
      <c r="AG206" s="392">
        <f t="shared" si="75"/>
        <v>0</v>
      </c>
      <c r="AH206" s="392">
        <f t="shared" si="76"/>
        <v>0</v>
      </c>
      <c r="AI206" s="392">
        <f t="shared" si="77"/>
        <v>0</v>
      </c>
      <c r="AJ206" s="393">
        <f t="shared" si="78"/>
        <v>0</v>
      </c>
      <c r="AK206" s="391">
        <f t="shared" si="79"/>
        <v>0</v>
      </c>
      <c r="AL206" s="391">
        <f t="shared" si="80"/>
        <v>0</v>
      </c>
      <c r="AM206" s="391">
        <f t="shared" si="81"/>
        <v>0</v>
      </c>
      <c r="AN206" s="391">
        <f t="shared" si="82"/>
        <v>0</v>
      </c>
      <c r="AO206" s="403">
        <f t="shared" si="83"/>
        <v>0</v>
      </c>
      <c r="AP206" s="405"/>
      <c r="AQ206" s="390" t="e">
        <f t="shared" si="84"/>
        <v>#N/A</v>
      </c>
      <c r="AR206" s="408">
        <f t="shared" si="85"/>
        <v>0</v>
      </c>
      <c r="AS206" s="409" t="str">
        <f t="shared" si="93"/>
        <v/>
      </c>
      <c r="AT206" s="416"/>
    </row>
    <row r="207" spans="1:46" ht="15" x14ac:dyDescent="0.25">
      <c r="A207" s="592">
        <v>204</v>
      </c>
      <c r="B207" s="604"/>
      <c r="C207" s="302"/>
      <c r="D207" s="304"/>
      <c r="E207" s="306"/>
      <c r="F207" s="698"/>
      <c r="G207" s="304"/>
      <c r="H207" s="304"/>
      <c r="I207" s="304"/>
      <c r="J207" s="304"/>
      <c r="K207" s="307"/>
      <c r="L207" s="590" t="str">
        <f t="shared" si="92"/>
        <v/>
      </c>
      <c r="M207" s="416"/>
      <c r="N207" s="405"/>
      <c r="O207" s="468" t="str">
        <f t="shared" si="86"/>
        <v xml:space="preserve"> </v>
      </c>
      <c r="P207" s="468" t="str">
        <f t="shared" si="87"/>
        <v xml:space="preserve"> </v>
      </c>
      <c r="Q207" s="468" t="str">
        <f t="shared" si="88"/>
        <v xml:space="preserve"> </v>
      </c>
      <c r="R207" s="468" t="str">
        <f t="shared" si="89"/>
        <v xml:space="preserve"> </v>
      </c>
      <c r="S207" s="468" t="str">
        <f t="shared" si="90"/>
        <v xml:space="preserve"> </v>
      </c>
      <c r="T207" s="468" t="str">
        <f t="shared" si="91"/>
        <v xml:space="preserve"> </v>
      </c>
      <c r="U207" s="405"/>
      <c r="V207" s="405"/>
      <c r="W207" s="405"/>
      <c r="X207" s="405"/>
      <c r="Y207" s="405"/>
      <c r="Z207" s="405"/>
      <c r="AA207" s="405"/>
      <c r="AB207" s="405"/>
      <c r="AC207" s="389" t="e">
        <f t="shared" si="71"/>
        <v>#N/A</v>
      </c>
      <c r="AD207" s="390">
        <f t="shared" si="72"/>
        <v>0</v>
      </c>
      <c r="AE207" s="390">
        <f t="shared" si="73"/>
        <v>0</v>
      </c>
      <c r="AF207" s="391">
        <f t="shared" si="74"/>
        <v>0</v>
      </c>
      <c r="AG207" s="392">
        <f t="shared" si="75"/>
        <v>0</v>
      </c>
      <c r="AH207" s="392">
        <f t="shared" si="76"/>
        <v>0</v>
      </c>
      <c r="AI207" s="392">
        <f t="shared" si="77"/>
        <v>0</v>
      </c>
      <c r="AJ207" s="393">
        <f t="shared" si="78"/>
        <v>0</v>
      </c>
      <c r="AK207" s="391">
        <f t="shared" si="79"/>
        <v>0</v>
      </c>
      <c r="AL207" s="391">
        <f t="shared" si="80"/>
        <v>0</v>
      </c>
      <c r="AM207" s="391">
        <f t="shared" si="81"/>
        <v>0</v>
      </c>
      <c r="AN207" s="391">
        <f t="shared" si="82"/>
        <v>0</v>
      </c>
      <c r="AO207" s="403">
        <f t="shared" si="83"/>
        <v>0</v>
      </c>
      <c r="AP207" s="405"/>
      <c r="AQ207" s="390" t="e">
        <f t="shared" si="84"/>
        <v>#N/A</v>
      </c>
      <c r="AR207" s="408">
        <f t="shared" si="85"/>
        <v>0</v>
      </c>
      <c r="AS207" s="409" t="str">
        <f t="shared" si="93"/>
        <v/>
      </c>
      <c r="AT207" s="416"/>
    </row>
    <row r="208" spans="1:46" ht="15" x14ac:dyDescent="0.25">
      <c r="A208" s="592">
        <v>205</v>
      </c>
      <c r="B208" s="604"/>
      <c r="C208" s="302"/>
      <c r="D208" s="304"/>
      <c r="E208" s="306"/>
      <c r="F208" s="698"/>
      <c r="G208" s="304"/>
      <c r="H208" s="304"/>
      <c r="I208" s="304"/>
      <c r="J208" s="304"/>
      <c r="K208" s="307"/>
      <c r="L208" s="590" t="str">
        <f t="shared" si="92"/>
        <v/>
      </c>
      <c r="M208" s="416"/>
      <c r="N208" s="405"/>
      <c r="O208" s="468" t="str">
        <f t="shared" si="86"/>
        <v xml:space="preserve"> </v>
      </c>
      <c r="P208" s="468" t="str">
        <f t="shared" si="87"/>
        <v xml:space="preserve"> </v>
      </c>
      <c r="Q208" s="468" t="str">
        <f t="shared" si="88"/>
        <v xml:space="preserve"> </v>
      </c>
      <c r="R208" s="468" t="str">
        <f t="shared" si="89"/>
        <v xml:space="preserve"> </v>
      </c>
      <c r="S208" s="468" t="str">
        <f t="shared" si="90"/>
        <v xml:space="preserve"> </v>
      </c>
      <c r="T208" s="468" t="str">
        <f t="shared" si="91"/>
        <v xml:space="preserve"> </v>
      </c>
      <c r="U208" s="405"/>
      <c r="V208" s="405"/>
      <c r="W208" s="405"/>
      <c r="X208" s="405"/>
      <c r="Y208" s="405"/>
      <c r="Z208" s="405"/>
      <c r="AA208" s="405"/>
      <c r="AB208" s="405"/>
      <c r="AC208" s="389" t="e">
        <f t="shared" si="71"/>
        <v>#N/A</v>
      </c>
      <c r="AD208" s="390">
        <f t="shared" si="72"/>
        <v>0</v>
      </c>
      <c r="AE208" s="390">
        <f t="shared" si="73"/>
        <v>0</v>
      </c>
      <c r="AF208" s="391">
        <f t="shared" si="74"/>
        <v>0</v>
      </c>
      <c r="AG208" s="392">
        <f t="shared" si="75"/>
        <v>0</v>
      </c>
      <c r="AH208" s="392">
        <f t="shared" si="76"/>
        <v>0</v>
      </c>
      <c r="AI208" s="392">
        <f t="shared" si="77"/>
        <v>0</v>
      </c>
      <c r="AJ208" s="393">
        <f t="shared" si="78"/>
        <v>0</v>
      </c>
      <c r="AK208" s="391">
        <f t="shared" si="79"/>
        <v>0</v>
      </c>
      <c r="AL208" s="391">
        <f t="shared" si="80"/>
        <v>0</v>
      </c>
      <c r="AM208" s="391">
        <f t="shared" si="81"/>
        <v>0</v>
      </c>
      <c r="AN208" s="391">
        <f t="shared" si="82"/>
        <v>0</v>
      </c>
      <c r="AO208" s="403">
        <f t="shared" si="83"/>
        <v>0</v>
      </c>
      <c r="AP208" s="405"/>
      <c r="AQ208" s="390" t="e">
        <f t="shared" si="84"/>
        <v>#N/A</v>
      </c>
      <c r="AR208" s="408">
        <f t="shared" si="85"/>
        <v>0</v>
      </c>
      <c r="AS208" s="409" t="str">
        <f t="shared" si="93"/>
        <v/>
      </c>
      <c r="AT208" s="416"/>
    </row>
    <row r="209" spans="1:46" ht="15" x14ac:dyDescent="0.25">
      <c r="A209" s="592">
        <v>206</v>
      </c>
      <c r="B209" s="604"/>
      <c r="C209" s="302"/>
      <c r="D209" s="304"/>
      <c r="E209" s="306"/>
      <c r="F209" s="698"/>
      <c r="G209" s="304"/>
      <c r="H209" s="304"/>
      <c r="I209" s="304"/>
      <c r="J209" s="304"/>
      <c r="K209" s="307"/>
      <c r="L209" s="590" t="str">
        <f t="shared" si="92"/>
        <v/>
      </c>
      <c r="M209" s="416"/>
      <c r="N209" s="405"/>
      <c r="O209" s="468" t="str">
        <f t="shared" si="86"/>
        <v xml:space="preserve"> </v>
      </c>
      <c r="P209" s="468" t="str">
        <f t="shared" si="87"/>
        <v xml:space="preserve"> </v>
      </c>
      <c r="Q209" s="468" t="str">
        <f t="shared" si="88"/>
        <v xml:space="preserve"> </v>
      </c>
      <c r="R209" s="468" t="str">
        <f t="shared" si="89"/>
        <v xml:space="preserve"> </v>
      </c>
      <c r="S209" s="468" t="str">
        <f t="shared" si="90"/>
        <v xml:space="preserve"> </v>
      </c>
      <c r="T209" s="468" t="str">
        <f t="shared" si="91"/>
        <v xml:space="preserve"> </v>
      </c>
      <c r="U209" s="405"/>
      <c r="V209" s="405"/>
      <c r="W209" s="405"/>
      <c r="X209" s="405"/>
      <c r="Y209" s="405"/>
      <c r="Z209" s="405"/>
      <c r="AA209" s="405"/>
      <c r="AB209" s="405"/>
      <c r="AC209" s="389" t="e">
        <f t="shared" ref="AC209:AC253" si="94">VLOOKUP($F209,$O$5:$P$10,2,0)</f>
        <v>#N/A</v>
      </c>
      <c r="AD209" s="390">
        <f t="shared" ref="AD209:AD253" si="95">IF(G209="Yes w/ Elec.Stove", VLOOKUP(AC209, $P$5:$Q$103, 2, FALSE), 0)</f>
        <v>0</v>
      </c>
      <c r="AE209" s="390">
        <f t="shared" ref="AE209:AE253" si="96">IF(G209="Yes, No Elec. Stove", VLOOKUP(AC209, $P$5:$R$103, 3, FALSE),0)</f>
        <v>0</v>
      </c>
      <c r="AF209" s="391">
        <f t="shared" ref="AF209:AF253" si="97">IF(H209="Yes ", VLOOKUP(AC209, $P$5:$S$103, 4, FALSE),0)</f>
        <v>0</v>
      </c>
      <c r="AG209" s="392">
        <f t="shared" ref="AG209:AG253" si="98">IF(I209="Oil", VLOOKUP(AC209, $P$5:$T$103, 5, FALSE), 0)</f>
        <v>0</v>
      </c>
      <c r="AH209" s="392">
        <f t="shared" ref="AH209:AH253" si="99">IF(I209="Gas", VLOOKUP(AC209, $P$5:$U$104, 6, FALSE), 0)</f>
        <v>0</v>
      </c>
      <c r="AI209" s="392">
        <f t="shared" ref="AI209:AI253" si="100">IF(I209="Electric - Other", VLOOKUP(AC209, $P$5:$V$104, 7, FALSE),0)</f>
        <v>0</v>
      </c>
      <c r="AJ209" s="393">
        <f t="shared" ref="AJ209:AJ253" si="101">IF(I209="Electric - Heat Pump", VLOOKUP(AC209, $P$5:$W$104, 8, FALSE),0)</f>
        <v>0</v>
      </c>
      <c r="AK209" s="391">
        <f t="shared" ref="AK209:AK253" si="102">IF(J209="Electric ccASHP - split", VLOOKUP(AC209, $P$5:$X$104, 9, FALSE),0)</f>
        <v>0</v>
      </c>
      <c r="AL209" s="391">
        <f t="shared" ref="AL209:AL253" si="103">IF(J209="Electric - Other", VLOOKUP(AC209, $P$5:$Y$104, 10, FALSE),0)</f>
        <v>0</v>
      </c>
      <c r="AM209" s="391">
        <f t="shared" ref="AM209:AM253" si="104">IF(J209="Oil ", VLOOKUP(AC209, $P$5:$Z$104, 11, FALSE),0)</f>
        <v>0</v>
      </c>
      <c r="AN209" s="391">
        <f t="shared" ref="AN209:AN253" si="105">IF(J209="Gas ",VLOOKUP(AC209,$P$5:$AA$104,12,FALSE),0)</f>
        <v>0</v>
      </c>
      <c r="AO209" s="403">
        <f t="shared" ref="AO209:AO253" si="106">K209</f>
        <v>0</v>
      </c>
      <c r="AP209" s="405"/>
      <c r="AQ209" s="390" t="e">
        <f t="shared" ref="AQ209:AQ253" si="107">AC209-AD209-AE209-AF209-AG209-AH209-AI209-AJ209-AK209-AL209-AM209-AN209-AO209</f>
        <v>#N/A</v>
      </c>
      <c r="AR209" s="408">
        <f t="shared" ref="AR209:AR253" si="108">E209</f>
        <v>0</v>
      </c>
      <c r="AS209" s="409" t="str">
        <f t="shared" si="93"/>
        <v/>
      </c>
      <c r="AT209" s="416"/>
    </row>
    <row r="210" spans="1:46" ht="15" x14ac:dyDescent="0.25">
      <c r="A210" s="592">
        <v>207</v>
      </c>
      <c r="B210" s="604"/>
      <c r="C210" s="302"/>
      <c r="D210" s="304"/>
      <c r="E210" s="306"/>
      <c r="F210" s="698"/>
      <c r="G210" s="304"/>
      <c r="H210" s="304"/>
      <c r="I210" s="304"/>
      <c r="J210" s="304"/>
      <c r="K210" s="307"/>
      <c r="L210" s="590" t="str">
        <f t="shared" si="92"/>
        <v/>
      </c>
      <c r="M210" s="416"/>
      <c r="N210" s="405"/>
      <c r="O210" s="468" t="str">
        <f t="shared" si="86"/>
        <v xml:space="preserve"> </v>
      </c>
      <c r="P210" s="468" t="str">
        <f t="shared" si="87"/>
        <v xml:space="preserve"> </v>
      </c>
      <c r="Q210" s="468" t="str">
        <f t="shared" si="88"/>
        <v xml:space="preserve"> </v>
      </c>
      <c r="R210" s="468" t="str">
        <f t="shared" si="89"/>
        <v xml:space="preserve"> </v>
      </c>
      <c r="S210" s="468" t="str">
        <f t="shared" si="90"/>
        <v xml:space="preserve"> </v>
      </c>
      <c r="T210" s="468" t="str">
        <f t="shared" si="91"/>
        <v xml:space="preserve"> </v>
      </c>
      <c r="U210" s="405"/>
      <c r="V210" s="405"/>
      <c r="W210" s="405"/>
      <c r="X210" s="405"/>
      <c r="Y210" s="405"/>
      <c r="Z210" s="405"/>
      <c r="AA210" s="405"/>
      <c r="AB210" s="405"/>
      <c r="AC210" s="389" t="e">
        <f t="shared" si="94"/>
        <v>#N/A</v>
      </c>
      <c r="AD210" s="390">
        <f t="shared" si="95"/>
        <v>0</v>
      </c>
      <c r="AE210" s="390">
        <f t="shared" si="96"/>
        <v>0</v>
      </c>
      <c r="AF210" s="391">
        <f t="shared" si="97"/>
        <v>0</v>
      </c>
      <c r="AG210" s="392">
        <f t="shared" si="98"/>
        <v>0</v>
      </c>
      <c r="AH210" s="392">
        <f t="shared" si="99"/>
        <v>0</v>
      </c>
      <c r="AI210" s="392">
        <f t="shared" si="100"/>
        <v>0</v>
      </c>
      <c r="AJ210" s="393">
        <f t="shared" si="101"/>
        <v>0</v>
      </c>
      <c r="AK210" s="391">
        <f t="shared" si="102"/>
        <v>0</v>
      </c>
      <c r="AL210" s="391">
        <f t="shared" si="103"/>
        <v>0</v>
      </c>
      <c r="AM210" s="391">
        <f t="shared" si="104"/>
        <v>0</v>
      </c>
      <c r="AN210" s="391">
        <f t="shared" si="105"/>
        <v>0</v>
      </c>
      <c r="AO210" s="403">
        <f t="shared" si="106"/>
        <v>0</v>
      </c>
      <c r="AP210" s="405"/>
      <c r="AQ210" s="390" t="e">
        <f t="shared" si="107"/>
        <v>#N/A</v>
      </c>
      <c r="AR210" s="408">
        <f t="shared" si="108"/>
        <v>0</v>
      </c>
      <c r="AS210" s="409" t="str">
        <f t="shared" si="93"/>
        <v/>
      </c>
      <c r="AT210" s="416"/>
    </row>
    <row r="211" spans="1:46" ht="15" x14ac:dyDescent="0.25">
      <c r="A211" s="592">
        <v>208</v>
      </c>
      <c r="B211" s="604"/>
      <c r="C211" s="302"/>
      <c r="D211" s="304"/>
      <c r="E211" s="306"/>
      <c r="F211" s="698"/>
      <c r="G211" s="304"/>
      <c r="H211" s="304"/>
      <c r="I211" s="304"/>
      <c r="J211" s="304"/>
      <c r="K211" s="307"/>
      <c r="L211" s="590" t="str">
        <f t="shared" si="92"/>
        <v/>
      </c>
      <c r="M211" s="416"/>
      <c r="N211" s="405"/>
      <c r="O211" s="468" t="str">
        <f t="shared" si="86"/>
        <v xml:space="preserve"> </v>
      </c>
      <c r="P211" s="468" t="str">
        <f t="shared" si="87"/>
        <v xml:space="preserve"> </v>
      </c>
      <c r="Q211" s="468" t="str">
        <f t="shared" si="88"/>
        <v xml:space="preserve"> </v>
      </c>
      <c r="R211" s="468" t="str">
        <f t="shared" si="89"/>
        <v xml:space="preserve"> </v>
      </c>
      <c r="S211" s="468" t="str">
        <f t="shared" si="90"/>
        <v xml:space="preserve"> </v>
      </c>
      <c r="T211" s="468" t="str">
        <f t="shared" si="91"/>
        <v xml:space="preserve"> </v>
      </c>
      <c r="U211" s="405"/>
      <c r="V211" s="405"/>
      <c r="W211" s="405"/>
      <c r="X211" s="405"/>
      <c r="Y211" s="405"/>
      <c r="Z211" s="405"/>
      <c r="AA211" s="405"/>
      <c r="AB211" s="405"/>
      <c r="AC211" s="389" t="e">
        <f t="shared" si="94"/>
        <v>#N/A</v>
      </c>
      <c r="AD211" s="390">
        <f t="shared" si="95"/>
        <v>0</v>
      </c>
      <c r="AE211" s="390">
        <f t="shared" si="96"/>
        <v>0</v>
      </c>
      <c r="AF211" s="391">
        <f t="shared" si="97"/>
        <v>0</v>
      </c>
      <c r="AG211" s="392">
        <f t="shared" si="98"/>
        <v>0</v>
      </c>
      <c r="AH211" s="392">
        <f t="shared" si="99"/>
        <v>0</v>
      </c>
      <c r="AI211" s="392">
        <f t="shared" si="100"/>
        <v>0</v>
      </c>
      <c r="AJ211" s="393">
        <f t="shared" si="101"/>
        <v>0</v>
      </c>
      <c r="AK211" s="391">
        <f t="shared" si="102"/>
        <v>0</v>
      </c>
      <c r="AL211" s="391">
        <f t="shared" si="103"/>
        <v>0</v>
      </c>
      <c r="AM211" s="391">
        <f t="shared" si="104"/>
        <v>0</v>
      </c>
      <c r="AN211" s="391">
        <f t="shared" si="105"/>
        <v>0</v>
      </c>
      <c r="AO211" s="403">
        <f t="shared" si="106"/>
        <v>0</v>
      </c>
      <c r="AP211" s="405"/>
      <c r="AQ211" s="390" t="e">
        <f t="shared" si="107"/>
        <v>#N/A</v>
      </c>
      <c r="AR211" s="408">
        <f t="shared" si="108"/>
        <v>0</v>
      </c>
      <c r="AS211" s="409" t="str">
        <f t="shared" si="93"/>
        <v/>
      </c>
      <c r="AT211" s="416"/>
    </row>
    <row r="212" spans="1:46" ht="15" x14ac:dyDescent="0.25">
      <c r="A212" s="592">
        <v>209</v>
      </c>
      <c r="B212" s="604"/>
      <c r="C212" s="302"/>
      <c r="D212" s="304"/>
      <c r="E212" s="306"/>
      <c r="F212" s="698"/>
      <c r="G212" s="304"/>
      <c r="H212" s="304"/>
      <c r="I212" s="304"/>
      <c r="J212" s="304"/>
      <c r="K212" s="307"/>
      <c r="L212" s="590" t="str">
        <f t="shared" si="92"/>
        <v/>
      </c>
      <c r="M212" s="416"/>
      <c r="N212" s="405"/>
      <c r="O212" s="468" t="str">
        <f t="shared" si="86"/>
        <v xml:space="preserve"> </v>
      </c>
      <c r="P212" s="468" t="str">
        <f t="shared" si="87"/>
        <v xml:space="preserve"> </v>
      </c>
      <c r="Q212" s="468" t="str">
        <f t="shared" si="88"/>
        <v xml:space="preserve"> </v>
      </c>
      <c r="R212" s="468" t="str">
        <f t="shared" si="89"/>
        <v xml:space="preserve"> </v>
      </c>
      <c r="S212" s="468" t="str">
        <f t="shared" si="90"/>
        <v xml:space="preserve"> </v>
      </c>
      <c r="T212" s="468" t="str">
        <f t="shared" si="91"/>
        <v xml:space="preserve"> </v>
      </c>
      <c r="U212" s="405"/>
      <c r="V212" s="405"/>
      <c r="W212" s="405"/>
      <c r="X212" s="405"/>
      <c r="Y212" s="405"/>
      <c r="Z212" s="405"/>
      <c r="AA212" s="405"/>
      <c r="AB212" s="405"/>
      <c r="AC212" s="389" t="e">
        <f t="shared" si="94"/>
        <v>#N/A</v>
      </c>
      <c r="AD212" s="390">
        <f t="shared" si="95"/>
        <v>0</v>
      </c>
      <c r="AE212" s="390">
        <f t="shared" si="96"/>
        <v>0</v>
      </c>
      <c r="AF212" s="391">
        <f t="shared" si="97"/>
        <v>0</v>
      </c>
      <c r="AG212" s="392">
        <f t="shared" si="98"/>
        <v>0</v>
      </c>
      <c r="AH212" s="392">
        <f t="shared" si="99"/>
        <v>0</v>
      </c>
      <c r="AI212" s="392">
        <f t="shared" si="100"/>
        <v>0</v>
      </c>
      <c r="AJ212" s="393">
        <f t="shared" si="101"/>
        <v>0</v>
      </c>
      <c r="AK212" s="391">
        <f t="shared" si="102"/>
        <v>0</v>
      </c>
      <c r="AL212" s="391">
        <f t="shared" si="103"/>
        <v>0</v>
      </c>
      <c r="AM212" s="391">
        <f t="shared" si="104"/>
        <v>0</v>
      </c>
      <c r="AN212" s="391">
        <f t="shared" si="105"/>
        <v>0</v>
      </c>
      <c r="AO212" s="403">
        <f t="shared" si="106"/>
        <v>0</v>
      </c>
      <c r="AP212" s="405"/>
      <c r="AQ212" s="390" t="e">
        <f t="shared" si="107"/>
        <v>#N/A</v>
      </c>
      <c r="AR212" s="408">
        <f t="shared" si="108"/>
        <v>0</v>
      </c>
      <c r="AS212" s="409" t="str">
        <f t="shared" si="93"/>
        <v/>
      </c>
      <c r="AT212" s="416"/>
    </row>
    <row r="213" spans="1:46" ht="15" x14ac:dyDescent="0.25">
      <c r="A213" s="592">
        <v>210</v>
      </c>
      <c r="B213" s="604"/>
      <c r="C213" s="302"/>
      <c r="D213" s="304"/>
      <c r="E213" s="306"/>
      <c r="F213" s="698"/>
      <c r="G213" s="304"/>
      <c r="H213" s="304"/>
      <c r="I213" s="304"/>
      <c r="J213" s="304"/>
      <c r="K213" s="307"/>
      <c r="L213" s="590" t="str">
        <f t="shared" si="92"/>
        <v/>
      </c>
      <c r="M213" s="416"/>
      <c r="N213" s="405"/>
      <c r="O213" s="468" t="str">
        <f t="shared" si="86"/>
        <v xml:space="preserve"> </v>
      </c>
      <c r="P213" s="468" t="str">
        <f t="shared" si="87"/>
        <v xml:space="preserve"> </v>
      </c>
      <c r="Q213" s="468" t="str">
        <f t="shared" si="88"/>
        <v xml:space="preserve"> </v>
      </c>
      <c r="R213" s="468" t="str">
        <f t="shared" si="89"/>
        <v xml:space="preserve"> </v>
      </c>
      <c r="S213" s="468" t="str">
        <f t="shared" si="90"/>
        <v xml:space="preserve"> </v>
      </c>
      <c r="T213" s="468" t="str">
        <f t="shared" si="91"/>
        <v xml:space="preserve"> </v>
      </c>
      <c r="U213" s="405"/>
      <c r="V213" s="405"/>
      <c r="W213" s="405"/>
      <c r="X213" s="405"/>
      <c r="Y213" s="405"/>
      <c r="Z213" s="405"/>
      <c r="AA213" s="405"/>
      <c r="AB213" s="405"/>
      <c r="AC213" s="389" t="e">
        <f t="shared" si="94"/>
        <v>#N/A</v>
      </c>
      <c r="AD213" s="390">
        <f t="shared" si="95"/>
        <v>0</v>
      </c>
      <c r="AE213" s="390">
        <f t="shared" si="96"/>
        <v>0</v>
      </c>
      <c r="AF213" s="391">
        <f t="shared" si="97"/>
        <v>0</v>
      </c>
      <c r="AG213" s="392">
        <f t="shared" si="98"/>
        <v>0</v>
      </c>
      <c r="AH213" s="392">
        <f t="shared" si="99"/>
        <v>0</v>
      </c>
      <c r="AI213" s="392">
        <f t="shared" si="100"/>
        <v>0</v>
      </c>
      <c r="AJ213" s="393">
        <f t="shared" si="101"/>
        <v>0</v>
      </c>
      <c r="AK213" s="391">
        <f t="shared" si="102"/>
        <v>0</v>
      </c>
      <c r="AL213" s="391">
        <f t="shared" si="103"/>
        <v>0</v>
      </c>
      <c r="AM213" s="391">
        <f t="shared" si="104"/>
        <v>0</v>
      </c>
      <c r="AN213" s="391">
        <f t="shared" si="105"/>
        <v>0</v>
      </c>
      <c r="AO213" s="403">
        <f t="shared" si="106"/>
        <v>0</v>
      </c>
      <c r="AP213" s="405"/>
      <c r="AQ213" s="390" t="e">
        <f t="shared" si="107"/>
        <v>#N/A</v>
      </c>
      <c r="AR213" s="408">
        <f t="shared" si="108"/>
        <v>0</v>
      </c>
      <c r="AS213" s="409" t="str">
        <f t="shared" si="93"/>
        <v/>
      </c>
      <c r="AT213" s="416"/>
    </row>
    <row r="214" spans="1:46" ht="15" x14ac:dyDescent="0.25">
      <c r="A214" s="592">
        <v>211</v>
      </c>
      <c r="B214" s="604"/>
      <c r="C214" s="302"/>
      <c r="D214" s="304"/>
      <c r="E214" s="306"/>
      <c r="F214" s="698"/>
      <c r="G214" s="304"/>
      <c r="H214" s="304"/>
      <c r="I214" s="304"/>
      <c r="J214" s="304"/>
      <c r="K214" s="307"/>
      <c r="L214" s="590" t="str">
        <f t="shared" si="92"/>
        <v/>
      </c>
      <c r="M214" s="416"/>
      <c r="N214" s="405"/>
      <c r="O214" s="468" t="str">
        <f t="shared" si="86"/>
        <v xml:space="preserve"> </v>
      </c>
      <c r="P214" s="468" t="str">
        <f t="shared" si="87"/>
        <v xml:space="preserve"> </v>
      </c>
      <c r="Q214" s="468" t="str">
        <f t="shared" si="88"/>
        <v xml:space="preserve"> </v>
      </c>
      <c r="R214" s="468" t="str">
        <f t="shared" si="89"/>
        <v xml:space="preserve"> </v>
      </c>
      <c r="S214" s="468" t="str">
        <f t="shared" si="90"/>
        <v xml:space="preserve"> </v>
      </c>
      <c r="T214" s="468" t="str">
        <f t="shared" si="91"/>
        <v xml:space="preserve"> </v>
      </c>
      <c r="U214" s="405"/>
      <c r="V214" s="405"/>
      <c r="W214" s="405"/>
      <c r="X214" s="405"/>
      <c r="Y214" s="405"/>
      <c r="Z214" s="405"/>
      <c r="AA214" s="405"/>
      <c r="AB214" s="405"/>
      <c r="AC214" s="389" t="e">
        <f t="shared" si="94"/>
        <v>#N/A</v>
      </c>
      <c r="AD214" s="390">
        <f t="shared" si="95"/>
        <v>0</v>
      </c>
      <c r="AE214" s="390">
        <f t="shared" si="96"/>
        <v>0</v>
      </c>
      <c r="AF214" s="391">
        <f t="shared" si="97"/>
        <v>0</v>
      </c>
      <c r="AG214" s="392">
        <f t="shared" si="98"/>
        <v>0</v>
      </c>
      <c r="AH214" s="392">
        <f t="shared" si="99"/>
        <v>0</v>
      </c>
      <c r="AI214" s="392">
        <f t="shared" si="100"/>
        <v>0</v>
      </c>
      <c r="AJ214" s="393">
        <f t="shared" si="101"/>
        <v>0</v>
      </c>
      <c r="AK214" s="391">
        <f t="shared" si="102"/>
        <v>0</v>
      </c>
      <c r="AL214" s="391">
        <f t="shared" si="103"/>
        <v>0</v>
      </c>
      <c r="AM214" s="391">
        <f t="shared" si="104"/>
        <v>0</v>
      </c>
      <c r="AN214" s="391">
        <f t="shared" si="105"/>
        <v>0</v>
      </c>
      <c r="AO214" s="403">
        <f t="shared" si="106"/>
        <v>0</v>
      </c>
      <c r="AP214" s="405"/>
      <c r="AQ214" s="390" t="e">
        <f t="shared" si="107"/>
        <v>#N/A</v>
      </c>
      <c r="AR214" s="408">
        <f t="shared" si="108"/>
        <v>0</v>
      </c>
      <c r="AS214" s="409" t="str">
        <f t="shared" si="93"/>
        <v/>
      </c>
      <c r="AT214" s="416"/>
    </row>
    <row r="215" spans="1:46" ht="15" x14ac:dyDescent="0.25">
      <c r="A215" s="592">
        <v>212</v>
      </c>
      <c r="B215" s="604"/>
      <c r="C215" s="302"/>
      <c r="D215" s="304"/>
      <c r="E215" s="306"/>
      <c r="F215" s="698"/>
      <c r="G215" s="304"/>
      <c r="H215" s="304"/>
      <c r="I215" s="304"/>
      <c r="J215" s="304"/>
      <c r="K215" s="307"/>
      <c r="L215" s="590" t="str">
        <f t="shared" si="92"/>
        <v/>
      </c>
      <c r="M215" s="416"/>
      <c r="N215" s="405"/>
      <c r="O215" s="468" t="str">
        <f t="shared" si="86"/>
        <v xml:space="preserve"> </v>
      </c>
      <c r="P215" s="468" t="str">
        <f t="shared" si="87"/>
        <v xml:space="preserve"> </v>
      </c>
      <c r="Q215" s="468" t="str">
        <f t="shared" si="88"/>
        <v xml:space="preserve"> </v>
      </c>
      <c r="R215" s="468" t="str">
        <f t="shared" si="89"/>
        <v xml:space="preserve"> </v>
      </c>
      <c r="S215" s="468" t="str">
        <f t="shared" si="90"/>
        <v xml:space="preserve"> </v>
      </c>
      <c r="T215" s="468" t="str">
        <f t="shared" si="91"/>
        <v xml:space="preserve"> </v>
      </c>
      <c r="U215" s="405"/>
      <c r="V215" s="405"/>
      <c r="W215" s="405"/>
      <c r="X215" s="405"/>
      <c r="Y215" s="405"/>
      <c r="Z215" s="405"/>
      <c r="AA215" s="405"/>
      <c r="AB215" s="405"/>
      <c r="AC215" s="389" t="e">
        <f t="shared" si="94"/>
        <v>#N/A</v>
      </c>
      <c r="AD215" s="390">
        <f t="shared" si="95"/>
        <v>0</v>
      </c>
      <c r="AE215" s="390">
        <f t="shared" si="96"/>
        <v>0</v>
      </c>
      <c r="AF215" s="391">
        <f t="shared" si="97"/>
        <v>0</v>
      </c>
      <c r="AG215" s="392">
        <f t="shared" si="98"/>
        <v>0</v>
      </c>
      <c r="AH215" s="392">
        <f t="shared" si="99"/>
        <v>0</v>
      </c>
      <c r="AI215" s="392">
        <f t="shared" si="100"/>
        <v>0</v>
      </c>
      <c r="AJ215" s="393">
        <f t="shared" si="101"/>
        <v>0</v>
      </c>
      <c r="AK215" s="391">
        <f t="shared" si="102"/>
        <v>0</v>
      </c>
      <c r="AL215" s="391">
        <f t="shared" si="103"/>
        <v>0</v>
      </c>
      <c r="AM215" s="391">
        <f t="shared" si="104"/>
        <v>0</v>
      </c>
      <c r="AN215" s="391">
        <f t="shared" si="105"/>
        <v>0</v>
      </c>
      <c r="AO215" s="403">
        <f t="shared" si="106"/>
        <v>0</v>
      </c>
      <c r="AP215" s="405"/>
      <c r="AQ215" s="390" t="e">
        <f t="shared" si="107"/>
        <v>#N/A</v>
      </c>
      <c r="AR215" s="408">
        <f t="shared" si="108"/>
        <v>0</v>
      </c>
      <c r="AS215" s="409" t="str">
        <f t="shared" si="93"/>
        <v/>
      </c>
      <c r="AT215" s="416"/>
    </row>
    <row r="216" spans="1:46" ht="15" x14ac:dyDescent="0.25">
      <c r="A216" s="592">
        <v>213</v>
      </c>
      <c r="B216" s="604"/>
      <c r="C216" s="302"/>
      <c r="D216" s="304"/>
      <c r="E216" s="306"/>
      <c r="F216" s="698"/>
      <c r="G216" s="304"/>
      <c r="H216" s="304"/>
      <c r="I216" s="304"/>
      <c r="J216" s="304"/>
      <c r="K216" s="307"/>
      <c r="L216" s="590" t="str">
        <f t="shared" si="92"/>
        <v/>
      </c>
      <c r="M216" s="416"/>
      <c r="N216" s="405"/>
      <c r="O216" s="468" t="str">
        <f t="shared" si="86"/>
        <v xml:space="preserve"> </v>
      </c>
      <c r="P216" s="468" t="str">
        <f t="shared" si="87"/>
        <v xml:space="preserve"> </v>
      </c>
      <c r="Q216" s="468" t="str">
        <f t="shared" si="88"/>
        <v xml:space="preserve"> </v>
      </c>
      <c r="R216" s="468" t="str">
        <f t="shared" si="89"/>
        <v xml:space="preserve"> </v>
      </c>
      <c r="S216" s="468" t="str">
        <f t="shared" si="90"/>
        <v xml:space="preserve"> </v>
      </c>
      <c r="T216" s="468" t="str">
        <f t="shared" si="91"/>
        <v xml:space="preserve"> </v>
      </c>
      <c r="U216" s="405"/>
      <c r="V216" s="405"/>
      <c r="W216" s="405"/>
      <c r="X216" s="405"/>
      <c r="Y216" s="405"/>
      <c r="Z216" s="405"/>
      <c r="AA216" s="405"/>
      <c r="AB216" s="405"/>
      <c r="AC216" s="389" t="e">
        <f t="shared" si="94"/>
        <v>#N/A</v>
      </c>
      <c r="AD216" s="390">
        <f t="shared" si="95"/>
        <v>0</v>
      </c>
      <c r="AE216" s="390">
        <f t="shared" si="96"/>
        <v>0</v>
      </c>
      <c r="AF216" s="391">
        <f t="shared" si="97"/>
        <v>0</v>
      </c>
      <c r="AG216" s="392">
        <f t="shared" si="98"/>
        <v>0</v>
      </c>
      <c r="AH216" s="392">
        <f t="shared" si="99"/>
        <v>0</v>
      </c>
      <c r="AI216" s="392">
        <f t="shared" si="100"/>
        <v>0</v>
      </c>
      <c r="AJ216" s="393">
        <f t="shared" si="101"/>
        <v>0</v>
      </c>
      <c r="AK216" s="391">
        <f t="shared" si="102"/>
        <v>0</v>
      </c>
      <c r="AL216" s="391">
        <f t="shared" si="103"/>
        <v>0</v>
      </c>
      <c r="AM216" s="391">
        <f t="shared" si="104"/>
        <v>0</v>
      </c>
      <c r="AN216" s="391">
        <f t="shared" si="105"/>
        <v>0</v>
      </c>
      <c r="AO216" s="403">
        <f t="shared" si="106"/>
        <v>0</v>
      </c>
      <c r="AP216" s="405"/>
      <c r="AQ216" s="390" t="e">
        <f t="shared" si="107"/>
        <v>#N/A</v>
      </c>
      <c r="AR216" s="408">
        <f t="shared" si="108"/>
        <v>0</v>
      </c>
      <c r="AS216" s="409" t="str">
        <f t="shared" si="93"/>
        <v/>
      </c>
      <c r="AT216" s="416"/>
    </row>
    <row r="217" spans="1:46" ht="15" x14ac:dyDescent="0.25">
      <c r="A217" s="592">
        <v>214</v>
      </c>
      <c r="B217" s="604"/>
      <c r="C217" s="302"/>
      <c r="D217" s="304"/>
      <c r="E217" s="306"/>
      <c r="F217" s="698"/>
      <c r="G217" s="304"/>
      <c r="H217" s="304"/>
      <c r="I217" s="304"/>
      <c r="J217" s="304"/>
      <c r="K217" s="307"/>
      <c r="L217" s="590" t="str">
        <f t="shared" si="92"/>
        <v/>
      </c>
      <c r="M217" s="416"/>
      <c r="N217" s="405"/>
      <c r="O217" s="468" t="str">
        <f t="shared" si="86"/>
        <v xml:space="preserve"> </v>
      </c>
      <c r="P217" s="468" t="str">
        <f t="shared" si="87"/>
        <v xml:space="preserve"> </v>
      </c>
      <c r="Q217" s="468" t="str">
        <f t="shared" si="88"/>
        <v xml:space="preserve"> </v>
      </c>
      <c r="R217" s="468" t="str">
        <f t="shared" si="89"/>
        <v xml:space="preserve"> </v>
      </c>
      <c r="S217" s="468" t="str">
        <f t="shared" si="90"/>
        <v xml:space="preserve"> </v>
      </c>
      <c r="T217" s="468" t="str">
        <f t="shared" si="91"/>
        <v xml:space="preserve"> </v>
      </c>
      <c r="U217" s="405"/>
      <c r="V217" s="405"/>
      <c r="W217" s="405"/>
      <c r="X217" s="405"/>
      <c r="Y217" s="405"/>
      <c r="Z217" s="405"/>
      <c r="AA217" s="405"/>
      <c r="AB217" s="405"/>
      <c r="AC217" s="389" t="e">
        <f t="shared" si="94"/>
        <v>#N/A</v>
      </c>
      <c r="AD217" s="390">
        <f t="shared" si="95"/>
        <v>0</v>
      </c>
      <c r="AE217" s="390">
        <f t="shared" si="96"/>
        <v>0</v>
      </c>
      <c r="AF217" s="391">
        <f t="shared" si="97"/>
        <v>0</v>
      </c>
      <c r="AG217" s="392">
        <f t="shared" si="98"/>
        <v>0</v>
      </c>
      <c r="AH217" s="392">
        <f t="shared" si="99"/>
        <v>0</v>
      </c>
      <c r="AI217" s="392">
        <f t="shared" si="100"/>
        <v>0</v>
      </c>
      <c r="AJ217" s="393">
        <f t="shared" si="101"/>
        <v>0</v>
      </c>
      <c r="AK217" s="391">
        <f t="shared" si="102"/>
        <v>0</v>
      </c>
      <c r="AL217" s="391">
        <f t="shared" si="103"/>
        <v>0</v>
      </c>
      <c r="AM217" s="391">
        <f t="shared" si="104"/>
        <v>0</v>
      </c>
      <c r="AN217" s="391">
        <f t="shared" si="105"/>
        <v>0</v>
      </c>
      <c r="AO217" s="403">
        <f t="shared" si="106"/>
        <v>0</v>
      </c>
      <c r="AP217" s="405"/>
      <c r="AQ217" s="390" t="e">
        <f t="shared" si="107"/>
        <v>#N/A</v>
      </c>
      <c r="AR217" s="408">
        <f t="shared" si="108"/>
        <v>0</v>
      </c>
      <c r="AS217" s="409" t="str">
        <f t="shared" si="93"/>
        <v/>
      </c>
      <c r="AT217" s="416"/>
    </row>
    <row r="218" spans="1:46" ht="15" x14ac:dyDescent="0.25">
      <c r="A218" s="592">
        <v>215</v>
      </c>
      <c r="B218" s="604"/>
      <c r="C218" s="302"/>
      <c r="D218" s="304"/>
      <c r="E218" s="306"/>
      <c r="F218" s="698"/>
      <c r="G218" s="304"/>
      <c r="H218" s="304"/>
      <c r="I218" s="304"/>
      <c r="J218" s="304"/>
      <c r="K218" s="307"/>
      <c r="L218" s="590" t="str">
        <f t="shared" si="92"/>
        <v/>
      </c>
      <c r="M218" s="416"/>
      <c r="N218" s="405"/>
      <c r="O218" s="468" t="str">
        <f t="shared" si="86"/>
        <v xml:space="preserve"> </v>
      </c>
      <c r="P218" s="468" t="str">
        <f t="shared" si="87"/>
        <v xml:space="preserve"> </v>
      </c>
      <c r="Q218" s="468" t="str">
        <f t="shared" si="88"/>
        <v xml:space="preserve"> </v>
      </c>
      <c r="R218" s="468" t="str">
        <f t="shared" si="89"/>
        <v xml:space="preserve"> </v>
      </c>
      <c r="S218" s="468" t="str">
        <f t="shared" si="90"/>
        <v xml:space="preserve"> </v>
      </c>
      <c r="T218" s="468" t="str">
        <f t="shared" si="91"/>
        <v xml:space="preserve"> </v>
      </c>
      <c r="U218" s="405"/>
      <c r="V218" s="405"/>
      <c r="W218" s="405"/>
      <c r="X218" s="405"/>
      <c r="Y218" s="405"/>
      <c r="Z218" s="405"/>
      <c r="AA218" s="405"/>
      <c r="AB218" s="405"/>
      <c r="AC218" s="389" t="e">
        <f t="shared" si="94"/>
        <v>#N/A</v>
      </c>
      <c r="AD218" s="390">
        <f t="shared" si="95"/>
        <v>0</v>
      </c>
      <c r="AE218" s="390">
        <f t="shared" si="96"/>
        <v>0</v>
      </c>
      <c r="AF218" s="391">
        <f t="shared" si="97"/>
        <v>0</v>
      </c>
      <c r="AG218" s="392">
        <f t="shared" si="98"/>
        <v>0</v>
      </c>
      <c r="AH218" s="392">
        <f t="shared" si="99"/>
        <v>0</v>
      </c>
      <c r="AI218" s="392">
        <f t="shared" si="100"/>
        <v>0</v>
      </c>
      <c r="AJ218" s="393">
        <f t="shared" si="101"/>
        <v>0</v>
      </c>
      <c r="AK218" s="391">
        <f t="shared" si="102"/>
        <v>0</v>
      </c>
      <c r="AL218" s="391">
        <f t="shared" si="103"/>
        <v>0</v>
      </c>
      <c r="AM218" s="391">
        <f t="shared" si="104"/>
        <v>0</v>
      </c>
      <c r="AN218" s="391">
        <f t="shared" si="105"/>
        <v>0</v>
      </c>
      <c r="AO218" s="403">
        <f t="shared" si="106"/>
        <v>0</v>
      </c>
      <c r="AP218" s="405"/>
      <c r="AQ218" s="390" t="e">
        <f t="shared" si="107"/>
        <v>#N/A</v>
      </c>
      <c r="AR218" s="408">
        <f t="shared" si="108"/>
        <v>0</v>
      </c>
      <c r="AS218" s="409" t="str">
        <f t="shared" si="93"/>
        <v/>
      </c>
      <c r="AT218" s="416"/>
    </row>
    <row r="219" spans="1:46" ht="15" x14ac:dyDescent="0.25">
      <c r="A219" s="592">
        <v>216</v>
      </c>
      <c r="B219" s="604"/>
      <c r="C219" s="302"/>
      <c r="D219" s="304"/>
      <c r="E219" s="306"/>
      <c r="F219" s="698"/>
      <c r="G219" s="304"/>
      <c r="H219" s="304"/>
      <c r="I219" s="304"/>
      <c r="J219" s="304"/>
      <c r="K219" s="307"/>
      <c r="L219" s="590" t="str">
        <f t="shared" si="92"/>
        <v/>
      </c>
      <c r="M219" s="416"/>
      <c r="N219" s="405"/>
      <c r="O219" s="468" t="str">
        <f t="shared" si="86"/>
        <v xml:space="preserve"> </v>
      </c>
      <c r="P219" s="468" t="str">
        <f t="shared" si="87"/>
        <v xml:space="preserve"> </v>
      </c>
      <c r="Q219" s="468" t="str">
        <f t="shared" si="88"/>
        <v xml:space="preserve"> </v>
      </c>
      <c r="R219" s="468" t="str">
        <f t="shared" si="89"/>
        <v xml:space="preserve"> </v>
      </c>
      <c r="S219" s="468" t="str">
        <f t="shared" si="90"/>
        <v xml:space="preserve"> </v>
      </c>
      <c r="T219" s="468" t="str">
        <f t="shared" si="91"/>
        <v xml:space="preserve"> </v>
      </c>
      <c r="U219" s="405"/>
      <c r="V219" s="405"/>
      <c r="W219" s="405"/>
      <c r="X219" s="405"/>
      <c r="Y219" s="405"/>
      <c r="Z219" s="405"/>
      <c r="AA219" s="405"/>
      <c r="AB219" s="405"/>
      <c r="AC219" s="389" t="e">
        <f t="shared" si="94"/>
        <v>#N/A</v>
      </c>
      <c r="AD219" s="390">
        <f t="shared" si="95"/>
        <v>0</v>
      </c>
      <c r="AE219" s="390">
        <f t="shared" si="96"/>
        <v>0</v>
      </c>
      <c r="AF219" s="391">
        <f t="shared" si="97"/>
        <v>0</v>
      </c>
      <c r="AG219" s="392">
        <f t="shared" si="98"/>
        <v>0</v>
      </c>
      <c r="AH219" s="392">
        <f t="shared" si="99"/>
        <v>0</v>
      </c>
      <c r="AI219" s="392">
        <f t="shared" si="100"/>
        <v>0</v>
      </c>
      <c r="AJ219" s="393">
        <f t="shared" si="101"/>
        <v>0</v>
      </c>
      <c r="AK219" s="391">
        <f t="shared" si="102"/>
        <v>0</v>
      </c>
      <c r="AL219" s="391">
        <f t="shared" si="103"/>
        <v>0</v>
      </c>
      <c r="AM219" s="391">
        <f t="shared" si="104"/>
        <v>0</v>
      </c>
      <c r="AN219" s="391">
        <f t="shared" si="105"/>
        <v>0</v>
      </c>
      <c r="AO219" s="403">
        <f t="shared" si="106"/>
        <v>0</v>
      </c>
      <c r="AP219" s="405"/>
      <c r="AQ219" s="390" t="e">
        <f t="shared" si="107"/>
        <v>#N/A</v>
      </c>
      <c r="AR219" s="408">
        <f t="shared" si="108"/>
        <v>0</v>
      </c>
      <c r="AS219" s="409" t="str">
        <f t="shared" si="93"/>
        <v/>
      </c>
      <c r="AT219" s="416"/>
    </row>
    <row r="220" spans="1:46" ht="15" x14ac:dyDescent="0.25">
      <c r="A220" s="592">
        <v>217</v>
      </c>
      <c r="B220" s="604"/>
      <c r="C220" s="302"/>
      <c r="D220" s="304"/>
      <c r="E220" s="306"/>
      <c r="F220" s="698"/>
      <c r="G220" s="304"/>
      <c r="H220" s="304"/>
      <c r="I220" s="304"/>
      <c r="J220" s="304"/>
      <c r="K220" s="307"/>
      <c r="L220" s="590" t="str">
        <f t="shared" si="92"/>
        <v/>
      </c>
      <c r="M220" s="416"/>
      <c r="N220" s="405"/>
      <c r="O220" s="468" t="str">
        <f t="shared" si="86"/>
        <v xml:space="preserve"> </v>
      </c>
      <c r="P220" s="468" t="str">
        <f t="shared" si="87"/>
        <v xml:space="preserve"> </v>
      </c>
      <c r="Q220" s="468" t="str">
        <f t="shared" si="88"/>
        <v xml:space="preserve"> </v>
      </c>
      <c r="R220" s="468" t="str">
        <f t="shared" si="89"/>
        <v xml:space="preserve"> </v>
      </c>
      <c r="S220" s="468" t="str">
        <f t="shared" si="90"/>
        <v xml:space="preserve"> </v>
      </c>
      <c r="T220" s="468" t="str">
        <f t="shared" si="91"/>
        <v xml:space="preserve"> </v>
      </c>
      <c r="U220" s="405"/>
      <c r="V220" s="405"/>
      <c r="W220" s="405"/>
      <c r="X220" s="405"/>
      <c r="Y220" s="405"/>
      <c r="Z220" s="405"/>
      <c r="AA220" s="405"/>
      <c r="AB220" s="405"/>
      <c r="AC220" s="389" t="e">
        <f t="shared" si="94"/>
        <v>#N/A</v>
      </c>
      <c r="AD220" s="390">
        <f t="shared" si="95"/>
        <v>0</v>
      </c>
      <c r="AE220" s="390">
        <f t="shared" si="96"/>
        <v>0</v>
      </c>
      <c r="AF220" s="391">
        <f t="shared" si="97"/>
        <v>0</v>
      </c>
      <c r="AG220" s="392">
        <f t="shared" si="98"/>
        <v>0</v>
      </c>
      <c r="AH220" s="392">
        <f t="shared" si="99"/>
        <v>0</v>
      </c>
      <c r="AI220" s="392">
        <f t="shared" si="100"/>
        <v>0</v>
      </c>
      <c r="AJ220" s="393">
        <f t="shared" si="101"/>
        <v>0</v>
      </c>
      <c r="AK220" s="391">
        <f t="shared" si="102"/>
        <v>0</v>
      </c>
      <c r="AL220" s="391">
        <f t="shared" si="103"/>
        <v>0</v>
      </c>
      <c r="AM220" s="391">
        <f t="shared" si="104"/>
        <v>0</v>
      </c>
      <c r="AN220" s="391">
        <f t="shared" si="105"/>
        <v>0</v>
      </c>
      <c r="AO220" s="403">
        <f t="shared" si="106"/>
        <v>0</v>
      </c>
      <c r="AP220" s="405"/>
      <c r="AQ220" s="390" t="e">
        <f t="shared" si="107"/>
        <v>#N/A</v>
      </c>
      <c r="AR220" s="408">
        <f t="shared" si="108"/>
        <v>0</v>
      </c>
      <c r="AS220" s="409" t="str">
        <f t="shared" si="93"/>
        <v/>
      </c>
      <c r="AT220" s="416"/>
    </row>
    <row r="221" spans="1:46" ht="15" x14ac:dyDescent="0.25">
      <c r="A221" s="592">
        <v>218</v>
      </c>
      <c r="B221" s="604"/>
      <c r="C221" s="302"/>
      <c r="D221" s="304"/>
      <c r="E221" s="306"/>
      <c r="F221" s="698"/>
      <c r="G221" s="304"/>
      <c r="H221" s="304"/>
      <c r="I221" s="304"/>
      <c r="J221" s="304"/>
      <c r="K221" s="307"/>
      <c r="L221" s="590" t="str">
        <f t="shared" si="92"/>
        <v/>
      </c>
      <c r="M221" s="416"/>
      <c r="N221" s="405"/>
      <c r="O221" s="468" t="str">
        <f t="shared" si="86"/>
        <v xml:space="preserve"> </v>
      </c>
      <c r="P221" s="468" t="str">
        <f t="shared" si="87"/>
        <v xml:space="preserve"> </v>
      </c>
      <c r="Q221" s="468" t="str">
        <f t="shared" si="88"/>
        <v xml:space="preserve"> </v>
      </c>
      <c r="R221" s="468" t="str">
        <f t="shared" si="89"/>
        <v xml:space="preserve"> </v>
      </c>
      <c r="S221" s="468" t="str">
        <f t="shared" si="90"/>
        <v xml:space="preserve"> </v>
      </c>
      <c r="T221" s="468" t="str">
        <f t="shared" si="91"/>
        <v xml:space="preserve"> </v>
      </c>
      <c r="U221" s="405"/>
      <c r="V221" s="405"/>
      <c r="W221" s="405"/>
      <c r="X221" s="405"/>
      <c r="Y221" s="405"/>
      <c r="Z221" s="405"/>
      <c r="AA221" s="405"/>
      <c r="AB221" s="405"/>
      <c r="AC221" s="389" t="e">
        <f t="shared" si="94"/>
        <v>#N/A</v>
      </c>
      <c r="AD221" s="390">
        <f t="shared" si="95"/>
        <v>0</v>
      </c>
      <c r="AE221" s="390">
        <f t="shared" si="96"/>
        <v>0</v>
      </c>
      <c r="AF221" s="391">
        <f t="shared" si="97"/>
        <v>0</v>
      </c>
      <c r="AG221" s="392">
        <f t="shared" si="98"/>
        <v>0</v>
      </c>
      <c r="AH221" s="392">
        <f t="shared" si="99"/>
        <v>0</v>
      </c>
      <c r="AI221" s="392">
        <f t="shared" si="100"/>
        <v>0</v>
      </c>
      <c r="AJ221" s="393">
        <f t="shared" si="101"/>
        <v>0</v>
      </c>
      <c r="AK221" s="391">
        <f t="shared" si="102"/>
        <v>0</v>
      </c>
      <c r="AL221" s="391">
        <f t="shared" si="103"/>
        <v>0</v>
      </c>
      <c r="AM221" s="391">
        <f t="shared" si="104"/>
        <v>0</v>
      </c>
      <c r="AN221" s="391">
        <f t="shared" si="105"/>
        <v>0</v>
      </c>
      <c r="AO221" s="403">
        <f t="shared" si="106"/>
        <v>0</v>
      </c>
      <c r="AP221" s="405"/>
      <c r="AQ221" s="390" t="e">
        <f t="shared" si="107"/>
        <v>#N/A</v>
      </c>
      <c r="AR221" s="408">
        <f t="shared" si="108"/>
        <v>0</v>
      </c>
      <c r="AS221" s="409" t="str">
        <f t="shared" si="93"/>
        <v/>
      </c>
      <c r="AT221" s="416"/>
    </row>
    <row r="222" spans="1:46" ht="15" x14ac:dyDescent="0.25">
      <c r="A222" s="592">
        <v>219</v>
      </c>
      <c r="B222" s="604"/>
      <c r="C222" s="302"/>
      <c r="D222" s="304"/>
      <c r="E222" s="306"/>
      <c r="F222" s="698"/>
      <c r="G222" s="304"/>
      <c r="H222" s="304"/>
      <c r="I222" s="304"/>
      <c r="J222" s="304"/>
      <c r="K222" s="307"/>
      <c r="L222" s="590" t="str">
        <f t="shared" si="92"/>
        <v/>
      </c>
      <c r="M222" s="416"/>
      <c r="N222" s="405"/>
      <c r="O222" s="468" t="str">
        <f t="shared" si="86"/>
        <v xml:space="preserve"> </v>
      </c>
      <c r="P222" s="468" t="str">
        <f t="shared" si="87"/>
        <v xml:space="preserve"> </v>
      </c>
      <c r="Q222" s="468" t="str">
        <f t="shared" si="88"/>
        <v xml:space="preserve"> </v>
      </c>
      <c r="R222" s="468" t="str">
        <f t="shared" si="89"/>
        <v xml:space="preserve"> </v>
      </c>
      <c r="S222" s="468" t="str">
        <f t="shared" si="90"/>
        <v xml:space="preserve"> </v>
      </c>
      <c r="T222" s="468" t="str">
        <f t="shared" si="91"/>
        <v xml:space="preserve"> </v>
      </c>
      <c r="U222" s="405"/>
      <c r="V222" s="405"/>
      <c r="W222" s="405"/>
      <c r="X222" s="405"/>
      <c r="Y222" s="405"/>
      <c r="Z222" s="405"/>
      <c r="AA222" s="405"/>
      <c r="AB222" s="405"/>
      <c r="AC222" s="389" t="e">
        <f t="shared" si="94"/>
        <v>#N/A</v>
      </c>
      <c r="AD222" s="390">
        <f t="shared" si="95"/>
        <v>0</v>
      </c>
      <c r="AE222" s="390">
        <f t="shared" si="96"/>
        <v>0</v>
      </c>
      <c r="AF222" s="391">
        <f t="shared" si="97"/>
        <v>0</v>
      </c>
      <c r="AG222" s="392">
        <f t="shared" si="98"/>
        <v>0</v>
      </c>
      <c r="AH222" s="392">
        <f t="shared" si="99"/>
        <v>0</v>
      </c>
      <c r="AI222" s="392">
        <f t="shared" si="100"/>
        <v>0</v>
      </c>
      <c r="AJ222" s="393">
        <f t="shared" si="101"/>
        <v>0</v>
      </c>
      <c r="AK222" s="391">
        <f t="shared" si="102"/>
        <v>0</v>
      </c>
      <c r="AL222" s="391">
        <f t="shared" si="103"/>
        <v>0</v>
      </c>
      <c r="AM222" s="391">
        <f t="shared" si="104"/>
        <v>0</v>
      </c>
      <c r="AN222" s="391">
        <f t="shared" si="105"/>
        <v>0</v>
      </c>
      <c r="AO222" s="403">
        <f t="shared" si="106"/>
        <v>0</v>
      </c>
      <c r="AP222" s="405"/>
      <c r="AQ222" s="390" t="e">
        <f t="shared" si="107"/>
        <v>#N/A</v>
      </c>
      <c r="AR222" s="408">
        <f t="shared" si="108"/>
        <v>0</v>
      </c>
      <c r="AS222" s="409" t="str">
        <f t="shared" si="93"/>
        <v/>
      </c>
      <c r="AT222" s="416"/>
    </row>
    <row r="223" spans="1:46" ht="15" x14ac:dyDescent="0.25">
      <c r="A223" s="592">
        <v>220</v>
      </c>
      <c r="B223" s="604"/>
      <c r="C223" s="302"/>
      <c r="D223" s="304"/>
      <c r="E223" s="306"/>
      <c r="F223" s="698"/>
      <c r="G223" s="304"/>
      <c r="H223" s="304"/>
      <c r="I223" s="304"/>
      <c r="J223" s="304"/>
      <c r="K223" s="307"/>
      <c r="L223" s="590" t="str">
        <f t="shared" si="92"/>
        <v/>
      </c>
      <c r="M223" s="416"/>
      <c r="N223" s="405"/>
      <c r="O223" s="468" t="str">
        <f t="shared" si="86"/>
        <v xml:space="preserve"> </v>
      </c>
      <c r="P223" s="468" t="str">
        <f t="shared" si="87"/>
        <v xml:space="preserve"> </v>
      </c>
      <c r="Q223" s="468" t="str">
        <f t="shared" si="88"/>
        <v xml:space="preserve"> </v>
      </c>
      <c r="R223" s="468" t="str">
        <f t="shared" si="89"/>
        <v xml:space="preserve"> </v>
      </c>
      <c r="S223" s="468" t="str">
        <f t="shared" si="90"/>
        <v xml:space="preserve"> </v>
      </c>
      <c r="T223" s="468" t="str">
        <f t="shared" si="91"/>
        <v xml:space="preserve"> </v>
      </c>
      <c r="U223" s="405"/>
      <c r="V223" s="405"/>
      <c r="W223" s="405"/>
      <c r="X223" s="405"/>
      <c r="Y223" s="405"/>
      <c r="Z223" s="405"/>
      <c r="AA223" s="405"/>
      <c r="AB223" s="405"/>
      <c r="AC223" s="389" t="e">
        <f t="shared" si="94"/>
        <v>#N/A</v>
      </c>
      <c r="AD223" s="390">
        <f t="shared" si="95"/>
        <v>0</v>
      </c>
      <c r="AE223" s="390">
        <f t="shared" si="96"/>
        <v>0</v>
      </c>
      <c r="AF223" s="391">
        <f t="shared" si="97"/>
        <v>0</v>
      </c>
      <c r="AG223" s="392">
        <f t="shared" si="98"/>
        <v>0</v>
      </c>
      <c r="AH223" s="392">
        <f t="shared" si="99"/>
        <v>0</v>
      </c>
      <c r="AI223" s="392">
        <f t="shared" si="100"/>
        <v>0</v>
      </c>
      <c r="AJ223" s="393">
        <f t="shared" si="101"/>
        <v>0</v>
      </c>
      <c r="AK223" s="391">
        <f t="shared" si="102"/>
        <v>0</v>
      </c>
      <c r="AL223" s="391">
        <f t="shared" si="103"/>
        <v>0</v>
      </c>
      <c r="AM223" s="391">
        <f t="shared" si="104"/>
        <v>0</v>
      </c>
      <c r="AN223" s="391">
        <f t="shared" si="105"/>
        <v>0</v>
      </c>
      <c r="AO223" s="403">
        <f t="shared" si="106"/>
        <v>0</v>
      </c>
      <c r="AP223" s="405"/>
      <c r="AQ223" s="390" t="e">
        <f t="shared" si="107"/>
        <v>#N/A</v>
      </c>
      <c r="AR223" s="408">
        <f t="shared" si="108"/>
        <v>0</v>
      </c>
      <c r="AS223" s="409" t="str">
        <f t="shared" si="93"/>
        <v/>
      </c>
      <c r="AT223" s="416"/>
    </row>
    <row r="224" spans="1:46" ht="15" x14ac:dyDescent="0.25">
      <c r="A224" s="592">
        <v>221</v>
      </c>
      <c r="B224" s="604"/>
      <c r="C224" s="302"/>
      <c r="D224" s="304"/>
      <c r="E224" s="306"/>
      <c r="F224" s="698"/>
      <c r="G224" s="304"/>
      <c r="H224" s="304"/>
      <c r="I224" s="304"/>
      <c r="J224" s="304"/>
      <c r="K224" s="307"/>
      <c r="L224" s="590" t="str">
        <f t="shared" si="92"/>
        <v/>
      </c>
      <c r="M224" s="416"/>
      <c r="N224" s="405"/>
      <c r="O224" s="468" t="str">
        <f t="shared" ref="O224:O268" si="109">IF(AND($F209="Studio",$L209="Yes"),$E209," ")</f>
        <v xml:space="preserve"> </v>
      </c>
      <c r="P224" s="468" t="str">
        <f t="shared" ref="P224:P266" si="110">IF(AND($F209=1,$L209="Yes"),$E209," ")</f>
        <v xml:space="preserve"> </v>
      </c>
      <c r="Q224" s="468" t="str">
        <f t="shared" ref="Q224:Q266" si="111">IF(AND($F209=2,$L209="Yes"),$E209," ")</f>
        <v xml:space="preserve"> </v>
      </c>
      <c r="R224" s="468" t="str">
        <f t="shared" ref="R224:R266" si="112">IF(AND($F209=3,$L209="Yes"),$E209," ")</f>
        <v xml:space="preserve"> </v>
      </c>
      <c r="S224" s="468" t="str">
        <f t="shared" ref="S224:S266" si="113">IF(AND($F209=4,$L209="Yes"),$E209," ")</f>
        <v xml:space="preserve"> </v>
      </c>
      <c r="T224" s="468" t="str">
        <f t="shared" ref="T224:T266" si="114">IF(AND($F209=5,$L209="Yes"),$E209," ")</f>
        <v xml:space="preserve"> </v>
      </c>
      <c r="U224" s="405"/>
      <c r="V224" s="405"/>
      <c r="W224" s="405"/>
      <c r="X224" s="405"/>
      <c r="Y224" s="405"/>
      <c r="Z224" s="405"/>
      <c r="AA224" s="405"/>
      <c r="AB224" s="405"/>
      <c r="AC224" s="389" t="e">
        <f t="shared" si="94"/>
        <v>#N/A</v>
      </c>
      <c r="AD224" s="390">
        <f t="shared" si="95"/>
        <v>0</v>
      </c>
      <c r="AE224" s="390">
        <f t="shared" si="96"/>
        <v>0</v>
      </c>
      <c r="AF224" s="391">
        <f t="shared" si="97"/>
        <v>0</v>
      </c>
      <c r="AG224" s="392">
        <f t="shared" si="98"/>
        <v>0</v>
      </c>
      <c r="AH224" s="392">
        <f t="shared" si="99"/>
        <v>0</v>
      </c>
      <c r="AI224" s="392">
        <f t="shared" si="100"/>
        <v>0</v>
      </c>
      <c r="AJ224" s="393">
        <f t="shared" si="101"/>
        <v>0</v>
      </c>
      <c r="AK224" s="391">
        <f t="shared" si="102"/>
        <v>0</v>
      </c>
      <c r="AL224" s="391">
        <f t="shared" si="103"/>
        <v>0</v>
      </c>
      <c r="AM224" s="391">
        <f t="shared" si="104"/>
        <v>0</v>
      </c>
      <c r="AN224" s="391">
        <f t="shared" si="105"/>
        <v>0</v>
      </c>
      <c r="AO224" s="403">
        <f t="shared" si="106"/>
        <v>0</v>
      </c>
      <c r="AP224" s="405"/>
      <c r="AQ224" s="390" t="e">
        <f t="shared" si="107"/>
        <v>#N/A</v>
      </c>
      <c r="AR224" s="408">
        <f t="shared" si="108"/>
        <v>0</v>
      </c>
      <c r="AS224" s="409" t="str">
        <f t="shared" si="93"/>
        <v/>
      </c>
      <c r="AT224" s="416"/>
    </row>
    <row r="225" spans="1:46" ht="15" x14ac:dyDescent="0.25">
      <c r="A225" s="592">
        <v>222</v>
      </c>
      <c r="B225" s="604"/>
      <c r="C225" s="302"/>
      <c r="D225" s="304"/>
      <c r="E225" s="306"/>
      <c r="F225" s="698"/>
      <c r="G225" s="304"/>
      <c r="H225" s="304"/>
      <c r="I225" s="304"/>
      <c r="J225" s="304"/>
      <c r="K225" s="307"/>
      <c r="L225" s="590" t="str">
        <f t="shared" si="92"/>
        <v/>
      </c>
      <c r="M225" s="416"/>
      <c r="N225" s="405"/>
      <c r="O225" s="468" t="str">
        <f t="shared" si="109"/>
        <v xml:space="preserve"> </v>
      </c>
      <c r="P225" s="468" t="str">
        <f t="shared" si="110"/>
        <v xml:space="preserve"> </v>
      </c>
      <c r="Q225" s="468" t="str">
        <f t="shared" si="111"/>
        <v xml:space="preserve"> </v>
      </c>
      <c r="R225" s="468" t="str">
        <f t="shared" si="112"/>
        <v xml:space="preserve"> </v>
      </c>
      <c r="S225" s="468" t="str">
        <f t="shared" si="113"/>
        <v xml:space="preserve"> </v>
      </c>
      <c r="T225" s="468" t="str">
        <f t="shared" si="114"/>
        <v xml:space="preserve"> </v>
      </c>
      <c r="U225" s="405"/>
      <c r="V225" s="405"/>
      <c r="W225" s="405"/>
      <c r="X225" s="405"/>
      <c r="Y225" s="405"/>
      <c r="Z225" s="405"/>
      <c r="AA225" s="405"/>
      <c r="AB225" s="405"/>
      <c r="AC225" s="389" t="e">
        <f t="shared" si="94"/>
        <v>#N/A</v>
      </c>
      <c r="AD225" s="390">
        <f t="shared" si="95"/>
        <v>0</v>
      </c>
      <c r="AE225" s="390">
        <f t="shared" si="96"/>
        <v>0</v>
      </c>
      <c r="AF225" s="391">
        <f t="shared" si="97"/>
        <v>0</v>
      </c>
      <c r="AG225" s="392">
        <f t="shared" si="98"/>
        <v>0</v>
      </c>
      <c r="AH225" s="392">
        <f t="shared" si="99"/>
        <v>0</v>
      </c>
      <c r="AI225" s="392">
        <f t="shared" si="100"/>
        <v>0</v>
      </c>
      <c r="AJ225" s="393">
        <f t="shared" si="101"/>
        <v>0</v>
      </c>
      <c r="AK225" s="391">
        <f t="shared" si="102"/>
        <v>0</v>
      </c>
      <c r="AL225" s="391">
        <f t="shared" si="103"/>
        <v>0</v>
      </c>
      <c r="AM225" s="391">
        <f t="shared" si="104"/>
        <v>0</v>
      </c>
      <c r="AN225" s="391">
        <f t="shared" si="105"/>
        <v>0</v>
      </c>
      <c r="AO225" s="403">
        <f t="shared" si="106"/>
        <v>0</v>
      </c>
      <c r="AP225" s="405"/>
      <c r="AQ225" s="390" t="e">
        <f t="shared" si="107"/>
        <v>#N/A</v>
      </c>
      <c r="AR225" s="408">
        <f t="shared" si="108"/>
        <v>0</v>
      </c>
      <c r="AS225" s="409" t="str">
        <f t="shared" si="93"/>
        <v/>
      </c>
      <c r="AT225" s="416"/>
    </row>
    <row r="226" spans="1:46" ht="15" x14ac:dyDescent="0.25">
      <c r="A226" s="592">
        <v>223</v>
      </c>
      <c r="B226" s="604"/>
      <c r="C226" s="302"/>
      <c r="D226" s="304"/>
      <c r="E226" s="306"/>
      <c r="F226" s="698"/>
      <c r="G226" s="304"/>
      <c r="H226" s="304"/>
      <c r="I226" s="304"/>
      <c r="J226" s="304"/>
      <c r="K226" s="307"/>
      <c r="L226" s="590" t="str">
        <f t="shared" si="92"/>
        <v/>
      </c>
      <c r="M226" s="416"/>
      <c r="N226" s="405"/>
      <c r="O226" s="468" t="str">
        <f t="shared" si="109"/>
        <v xml:space="preserve"> </v>
      </c>
      <c r="P226" s="468" t="str">
        <f t="shared" si="110"/>
        <v xml:space="preserve"> </v>
      </c>
      <c r="Q226" s="468" t="str">
        <f t="shared" si="111"/>
        <v xml:space="preserve"> </v>
      </c>
      <c r="R226" s="468" t="str">
        <f t="shared" si="112"/>
        <v xml:space="preserve"> </v>
      </c>
      <c r="S226" s="468" t="str">
        <f t="shared" si="113"/>
        <v xml:space="preserve"> </v>
      </c>
      <c r="T226" s="468" t="str">
        <f t="shared" si="114"/>
        <v xml:space="preserve"> </v>
      </c>
      <c r="U226" s="405"/>
      <c r="V226" s="405"/>
      <c r="W226" s="405"/>
      <c r="X226" s="405"/>
      <c r="Y226" s="405"/>
      <c r="Z226" s="405"/>
      <c r="AA226" s="405"/>
      <c r="AB226" s="405"/>
      <c r="AC226" s="389" t="e">
        <f t="shared" si="94"/>
        <v>#N/A</v>
      </c>
      <c r="AD226" s="390">
        <f t="shared" si="95"/>
        <v>0</v>
      </c>
      <c r="AE226" s="390">
        <f t="shared" si="96"/>
        <v>0</v>
      </c>
      <c r="AF226" s="391">
        <f t="shared" si="97"/>
        <v>0</v>
      </c>
      <c r="AG226" s="392">
        <f t="shared" si="98"/>
        <v>0</v>
      </c>
      <c r="AH226" s="392">
        <f t="shared" si="99"/>
        <v>0</v>
      </c>
      <c r="AI226" s="392">
        <f t="shared" si="100"/>
        <v>0</v>
      </c>
      <c r="AJ226" s="393">
        <f t="shared" si="101"/>
        <v>0</v>
      </c>
      <c r="AK226" s="391">
        <f t="shared" si="102"/>
        <v>0</v>
      </c>
      <c r="AL226" s="391">
        <f t="shared" si="103"/>
        <v>0</v>
      </c>
      <c r="AM226" s="391">
        <f t="shared" si="104"/>
        <v>0</v>
      </c>
      <c r="AN226" s="391">
        <f t="shared" si="105"/>
        <v>0</v>
      </c>
      <c r="AO226" s="403">
        <f t="shared" si="106"/>
        <v>0</v>
      </c>
      <c r="AP226" s="405"/>
      <c r="AQ226" s="390" t="e">
        <f t="shared" si="107"/>
        <v>#N/A</v>
      </c>
      <c r="AR226" s="408">
        <f t="shared" si="108"/>
        <v>0</v>
      </c>
      <c r="AS226" s="409" t="str">
        <f t="shared" si="93"/>
        <v/>
      </c>
      <c r="AT226" s="416"/>
    </row>
    <row r="227" spans="1:46" ht="15" x14ac:dyDescent="0.25">
      <c r="A227" s="592">
        <v>224</v>
      </c>
      <c r="B227" s="604"/>
      <c r="C227" s="302"/>
      <c r="D227" s="304"/>
      <c r="E227" s="306"/>
      <c r="F227" s="698"/>
      <c r="G227" s="304"/>
      <c r="H227" s="304"/>
      <c r="I227" s="304"/>
      <c r="J227" s="304"/>
      <c r="K227" s="307"/>
      <c r="L227" s="590" t="str">
        <f t="shared" si="92"/>
        <v/>
      </c>
      <c r="M227" s="416"/>
      <c r="N227" s="405"/>
      <c r="O227" s="468" t="str">
        <f t="shared" si="109"/>
        <v xml:space="preserve"> </v>
      </c>
      <c r="P227" s="468" t="str">
        <f t="shared" si="110"/>
        <v xml:space="preserve"> </v>
      </c>
      <c r="Q227" s="468" t="str">
        <f t="shared" si="111"/>
        <v xml:space="preserve"> </v>
      </c>
      <c r="R227" s="468" t="str">
        <f t="shared" si="112"/>
        <v xml:space="preserve"> </v>
      </c>
      <c r="S227" s="468" t="str">
        <f t="shared" si="113"/>
        <v xml:space="preserve"> </v>
      </c>
      <c r="T227" s="468" t="str">
        <f t="shared" si="114"/>
        <v xml:space="preserve"> </v>
      </c>
      <c r="U227" s="405"/>
      <c r="V227" s="405"/>
      <c r="W227" s="405"/>
      <c r="X227" s="405"/>
      <c r="Y227" s="405"/>
      <c r="Z227" s="405"/>
      <c r="AA227" s="405"/>
      <c r="AB227" s="405"/>
      <c r="AC227" s="389" t="e">
        <f t="shared" si="94"/>
        <v>#N/A</v>
      </c>
      <c r="AD227" s="390">
        <f t="shared" si="95"/>
        <v>0</v>
      </c>
      <c r="AE227" s="390">
        <f t="shared" si="96"/>
        <v>0</v>
      </c>
      <c r="AF227" s="391">
        <f t="shared" si="97"/>
        <v>0</v>
      </c>
      <c r="AG227" s="392">
        <f t="shared" si="98"/>
        <v>0</v>
      </c>
      <c r="AH227" s="392">
        <f t="shared" si="99"/>
        <v>0</v>
      </c>
      <c r="AI227" s="392">
        <f t="shared" si="100"/>
        <v>0</v>
      </c>
      <c r="AJ227" s="393">
        <f t="shared" si="101"/>
        <v>0</v>
      </c>
      <c r="AK227" s="391">
        <f t="shared" si="102"/>
        <v>0</v>
      </c>
      <c r="AL227" s="391">
        <f t="shared" si="103"/>
        <v>0</v>
      </c>
      <c r="AM227" s="391">
        <f t="shared" si="104"/>
        <v>0</v>
      </c>
      <c r="AN227" s="391">
        <f t="shared" si="105"/>
        <v>0</v>
      </c>
      <c r="AO227" s="403">
        <f t="shared" si="106"/>
        <v>0</v>
      </c>
      <c r="AP227" s="405"/>
      <c r="AQ227" s="390" t="e">
        <f t="shared" si="107"/>
        <v>#N/A</v>
      </c>
      <c r="AR227" s="408">
        <f t="shared" si="108"/>
        <v>0</v>
      </c>
      <c r="AS227" s="409" t="str">
        <f t="shared" si="93"/>
        <v/>
      </c>
      <c r="AT227" s="416"/>
    </row>
    <row r="228" spans="1:46" ht="15" x14ac:dyDescent="0.25">
      <c r="A228" s="592">
        <v>225</v>
      </c>
      <c r="B228" s="604"/>
      <c r="C228" s="302"/>
      <c r="D228" s="304"/>
      <c r="E228" s="306"/>
      <c r="F228" s="698"/>
      <c r="G228" s="304"/>
      <c r="H228" s="304"/>
      <c r="I228" s="304"/>
      <c r="J228" s="304"/>
      <c r="K228" s="307"/>
      <c r="L228" s="590" t="str">
        <f t="shared" si="92"/>
        <v/>
      </c>
      <c r="M228" s="416"/>
      <c r="N228" s="405"/>
      <c r="O228" s="468" t="str">
        <f t="shared" si="109"/>
        <v xml:space="preserve"> </v>
      </c>
      <c r="P228" s="468" t="str">
        <f t="shared" si="110"/>
        <v xml:space="preserve"> </v>
      </c>
      <c r="Q228" s="468" t="str">
        <f t="shared" si="111"/>
        <v xml:space="preserve"> </v>
      </c>
      <c r="R228" s="468" t="str">
        <f t="shared" si="112"/>
        <v xml:space="preserve"> </v>
      </c>
      <c r="S228" s="468" t="str">
        <f t="shared" si="113"/>
        <v xml:space="preserve"> </v>
      </c>
      <c r="T228" s="468" t="str">
        <f t="shared" si="114"/>
        <v xml:space="preserve"> </v>
      </c>
      <c r="U228" s="405"/>
      <c r="V228" s="405"/>
      <c r="W228" s="405"/>
      <c r="X228" s="405"/>
      <c r="Y228" s="405"/>
      <c r="Z228" s="405"/>
      <c r="AA228" s="405"/>
      <c r="AB228" s="405"/>
      <c r="AC228" s="389" t="e">
        <f t="shared" si="94"/>
        <v>#N/A</v>
      </c>
      <c r="AD228" s="390">
        <f t="shared" si="95"/>
        <v>0</v>
      </c>
      <c r="AE228" s="390">
        <f t="shared" si="96"/>
        <v>0</v>
      </c>
      <c r="AF228" s="391">
        <f t="shared" si="97"/>
        <v>0</v>
      </c>
      <c r="AG228" s="392">
        <f t="shared" si="98"/>
        <v>0</v>
      </c>
      <c r="AH228" s="392">
        <f t="shared" si="99"/>
        <v>0</v>
      </c>
      <c r="AI228" s="392">
        <f t="shared" si="100"/>
        <v>0</v>
      </c>
      <c r="AJ228" s="393">
        <f t="shared" si="101"/>
        <v>0</v>
      </c>
      <c r="AK228" s="391">
        <f t="shared" si="102"/>
        <v>0</v>
      </c>
      <c r="AL228" s="391">
        <f t="shared" si="103"/>
        <v>0</v>
      </c>
      <c r="AM228" s="391">
        <f t="shared" si="104"/>
        <v>0</v>
      </c>
      <c r="AN228" s="391">
        <f t="shared" si="105"/>
        <v>0</v>
      </c>
      <c r="AO228" s="403">
        <f t="shared" si="106"/>
        <v>0</v>
      </c>
      <c r="AP228" s="405"/>
      <c r="AQ228" s="390" t="e">
        <f t="shared" si="107"/>
        <v>#N/A</v>
      </c>
      <c r="AR228" s="408">
        <f t="shared" si="108"/>
        <v>0</v>
      </c>
      <c r="AS228" s="409" t="str">
        <f t="shared" si="93"/>
        <v/>
      </c>
      <c r="AT228" s="416"/>
    </row>
    <row r="229" spans="1:46" ht="15" x14ac:dyDescent="0.25">
      <c r="A229" s="592">
        <v>226</v>
      </c>
      <c r="B229" s="604"/>
      <c r="C229" s="302"/>
      <c r="D229" s="304"/>
      <c r="E229" s="306"/>
      <c r="F229" s="698"/>
      <c r="G229" s="304"/>
      <c r="H229" s="304"/>
      <c r="I229" s="304"/>
      <c r="J229" s="304"/>
      <c r="K229" s="307"/>
      <c r="L229" s="590" t="str">
        <f t="shared" si="92"/>
        <v/>
      </c>
      <c r="M229" s="416"/>
      <c r="N229" s="405"/>
      <c r="O229" s="468" t="str">
        <f t="shared" si="109"/>
        <v xml:space="preserve"> </v>
      </c>
      <c r="P229" s="468" t="str">
        <f t="shared" si="110"/>
        <v xml:space="preserve"> </v>
      </c>
      <c r="Q229" s="468" t="str">
        <f t="shared" si="111"/>
        <v xml:space="preserve"> </v>
      </c>
      <c r="R229" s="468" t="str">
        <f t="shared" si="112"/>
        <v xml:space="preserve"> </v>
      </c>
      <c r="S229" s="468" t="str">
        <f t="shared" si="113"/>
        <v xml:space="preserve"> </v>
      </c>
      <c r="T229" s="468" t="str">
        <f t="shared" si="114"/>
        <v xml:space="preserve"> </v>
      </c>
      <c r="U229" s="405"/>
      <c r="V229" s="405"/>
      <c r="W229" s="405"/>
      <c r="X229" s="405"/>
      <c r="Y229" s="405"/>
      <c r="Z229" s="405"/>
      <c r="AA229" s="405"/>
      <c r="AB229" s="405"/>
      <c r="AC229" s="389" t="e">
        <f t="shared" si="94"/>
        <v>#N/A</v>
      </c>
      <c r="AD229" s="390">
        <f t="shared" si="95"/>
        <v>0</v>
      </c>
      <c r="AE229" s="390">
        <f t="shared" si="96"/>
        <v>0</v>
      </c>
      <c r="AF229" s="391">
        <f t="shared" si="97"/>
        <v>0</v>
      </c>
      <c r="AG229" s="392">
        <f t="shared" si="98"/>
        <v>0</v>
      </c>
      <c r="AH229" s="392">
        <f t="shared" si="99"/>
        <v>0</v>
      </c>
      <c r="AI229" s="392">
        <f t="shared" si="100"/>
        <v>0</v>
      </c>
      <c r="AJ229" s="393">
        <f t="shared" si="101"/>
        <v>0</v>
      </c>
      <c r="AK229" s="391">
        <f t="shared" si="102"/>
        <v>0</v>
      </c>
      <c r="AL229" s="391">
        <f t="shared" si="103"/>
        <v>0</v>
      </c>
      <c r="AM229" s="391">
        <f t="shared" si="104"/>
        <v>0</v>
      </c>
      <c r="AN229" s="391">
        <f t="shared" si="105"/>
        <v>0</v>
      </c>
      <c r="AO229" s="403">
        <f t="shared" si="106"/>
        <v>0</v>
      </c>
      <c r="AP229" s="405"/>
      <c r="AQ229" s="390" t="e">
        <f t="shared" si="107"/>
        <v>#N/A</v>
      </c>
      <c r="AR229" s="408">
        <f t="shared" si="108"/>
        <v>0</v>
      </c>
      <c r="AS229" s="409" t="str">
        <f t="shared" si="93"/>
        <v/>
      </c>
      <c r="AT229" s="416"/>
    </row>
    <row r="230" spans="1:46" ht="15" x14ac:dyDescent="0.25">
      <c r="A230" s="592">
        <v>227</v>
      </c>
      <c r="B230" s="604"/>
      <c r="C230" s="302"/>
      <c r="D230" s="304"/>
      <c r="E230" s="306"/>
      <c r="F230" s="698"/>
      <c r="G230" s="304"/>
      <c r="H230" s="304"/>
      <c r="I230" s="304"/>
      <c r="J230" s="304"/>
      <c r="K230" s="307"/>
      <c r="L230" s="590" t="str">
        <f t="shared" si="92"/>
        <v/>
      </c>
      <c r="M230" s="416"/>
      <c r="N230" s="405"/>
      <c r="O230" s="468" t="str">
        <f t="shared" si="109"/>
        <v xml:space="preserve"> </v>
      </c>
      <c r="P230" s="468" t="str">
        <f t="shared" si="110"/>
        <v xml:space="preserve"> </v>
      </c>
      <c r="Q230" s="468" t="str">
        <f t="shared" si="111"/>
        <v xml:space="preserve"> </v>
      </c>
      <c r="R230" s="468" t="str">
        <f t="shared" si="112"/>
        <v xml:space="preserve"> </v>
      </c>
      <c r="S230" s="468" t="str">
        <f t="shared" si="113"/>
        <v xml:space="preserve"> </v>
      </c>
      <c r="T230" s="468" t="str">
        <f t="shared" si="114"/>
        <v xml:space="preserve"> </v>
      </c>
      <c r="U230" s="405"/>
      <c r="V230" s="405"/>
      <c r="W230" s="405"/>
      <c r="X230" s="405"/>
      <c r="Y230" s="405"/>
      <c r="Z230" s="405"/>
      <c r="AA230" s="405"/>
      <c r="AB230" s="405"/>
      <c r="AC230" s="389" t="e">
        <f t="shared" si="94"/>
        <v>#N/A</v>
      </c>
      <c r="AD230" s="390">
        <f t="shared" si="95"/>
        <v>0</v>
      </c>
      <c r="AE230" s="390">
        <f t="shared" si="96"/>
        <v>0</v>
      </c>
      <c r="AF230" s="391">
        <f t="shared" si="97"/>
        <v>0</v>
      </c>
      <c r="AG230" s="392">
        <f t="shared" si="98"/>
        <v>0</v>
      </c>
      <c r="AH230" s="392">
        <f t="shared" si="99"/>
        <v>0</v>
      </c>
      <c r="AI230" s="392">
        <f t="shared" si="100"/>
        <v>0</v>
      </c>
      <c r="AJ230" s="393">
        <f t="shared" si="101"/>
        <v>0</v>
      </c>
      <c r="AK230" s="391">
        <f t="shared" si="102"/>
        <v>0</v>
      </c>
      <c r="AL230" s="391">
        <f t="shared" si="103"/>
        <v>0</v>
      </c>
      <c r="AM230" s="391">
        <f t="shared" si="104"/>
        <v>0</v>
      </c>
      <c r="AN230" s="391">
        <f t="shared" si="105"/>
        <v>0</v>
      </c>
      <c r="AO230" s="403">
        <f t="shared" si="106"/>
        <v>0</v>
      </c>
      <c r="AP230" s="405"/>
      <c r="AQ230" s="390" t="e">
        <f t="shared" si="107"/>
        <v>#N/A</v>
      </c>
      <c r="AR230" s="408">
        <f t="shared" si="108"/>
        <v>0</v>
      </c>
      <c r="AS230" s="409" t="str">
        <f t="shared" si="93"/>
        <v/>
      </c>
      <c r="AT230" s="416"/>
    </row>
    <row r="231" spans="1:46" ht="15" x14ac:dyDescent="0.25">
      <c r="A231" s="592">
        <v>228</v>
      </c>
      <c r="B231" s="604"/>
      <c r="C231" s="302"/>
      <c r="D231" s="304"/>
      <c r="E231" s="306"/>
      <c r="F231" s="698"/>
      <c r="G231" s="304"/>
      <c r="H231" s="304"/>
      <c r="I231" s="304"/>
      <c r="J231" s="304"/>
      <c r="K231" s="307"/>
      <c r="L231" s="590" t="str">
        <f t="shared" si="92"/>
        <v/>
      </c>
      <c r="M231" s="416"/>
      <c r="N231" s="405"/>
      <c r="O231" s="468" t="str">
        <f t="shared" si="109"/>
        <v xml:space="preserve"> </v>
      </c>
      <c r="P231" s="468" t="str">
        <f t="shared" si="110"/>
        <v xml:space="preserve"> </v>
      </c>
      <c r="Q231" s="468" t="str">
        <f t="shared" si="111"/>
        <v xml:space="preserve"> </v>
      </c>
      <c r="R231" s="468" t="str">
        <f t="shared" si="112"/>
        <v xml:space="preserve"> </v>
      </c>
      <c r="S231" s="468" t="str">
        <f t="shared" si="113"/>
        <v xml:space="preserve"> </v>
      </c>
      <c r="T231" s="468" t="str">
        <f t="shared" si="114"/>
        <v xml:space="preserve"> </v>
      </c>
      <c r="U231" s="405"/>
      <c r="V231" s="405"/>
      <c r="W231" s="405"/>
      <c r="X231" s="405"/>
      <c r="Y231" s="405"/>
      <c r="Z231" s="405"/>
      <c r="AA231" s="405"/>
      <c r="AB231" s="405"/>
      <c r="AC231" s="389" t="e">
        <f t="shared" si="94"/>
        <v>#N/A</v>
      </c>
      <c r="AD231" s="390">
        <f t="shared" si="95"/>
        <v>0</v>
      </c>
      <c r="AE231" s="390">
        <f t="shared" si="96"/>
        <v>0</v>
      </c>
      <c r="AF231" s="391">
        <f t="shared" si="97"/>
        <v>0</v>
      </c>
      <c r="AG231" s="392">
        <f t="shared" si="98"/>
        <v>0</v>
      </c>
      <c r="AH231" s="392">
        <f t="shared" si="99"/>
        <v>0</v>
      </c>
      <c r="AI231" s="392">
        <f t="shared" si="100"/>
        <v>0</v>
      </c>
      <c r="AJ231" s="393">
        <f t="shared" si="101"/>
        <v>0</v>
      </c>
      <c r="AK231" s="391">
        <f t="shared" si="102"/>
        <v>0</v>
      </c>
      <c r="AL231" s="391">
        <f t="shared" si="103"/>
        <v>0</v>
      </c>
      <c r="AM231" s="391">
        <f t="shared" si="104"/>
        <v>0</v>
      </c>
      <c r="AN231" s="391">
        <f t="shared" si="105"/>
        <v>0</v>
      </c>
      <c r="AO231" s="403">
        <f t="shared" si="106"/>
        <v>0</v>
      </c>
      <c r="AP231" s="405"/>
      <c r="AQ231" s="390" t="e">
        <f t="shared" si="107"/>
        <v>#N/A</v>
      </c>
      <c r="AR231" s="408">
        <f t="shared" si="108"/>
        <v>0</v>
      </c>
      <c r="AS231" s="409" t="str">
        <f t="shared" si="93"/>
        <v/>
      </c>
      <c r="AT231" s="416"/>
    </row>
    <row r="232" spans="1:46" ht="15" x14ac:dyDescent="0.25">
      <c r="A232" s="592">
        <v>229</v>
      </c>
      <c r="B232" s="604"/>
      <c r="C232" s="302"/>
      <c r="D232" s="304"/>
      <c r="E232" s="306"/>
      <c r="F232" s="698"/>
      <c r="G232" s="304"/>
      <c r="H232" s="304"/>
      <c r="I232" s="304"/>
      <c r="J232" s="304"/>
      <c r="K232" s="307"/>
      <c r="L232" s="590" t="str">
        <f t="shared" si="92"/>
        <v/>
      </c>
      <c r="M232" s="416"/>
      <c r="N232" s="405"/>
      <c r="O232" s="468" t="str">
        <f t="shared" si="109"/>
        <v xml:space="preserve"> </v>
      </c>
      <c r="P232" s="468" t="str">
        <f t="shared" si="110"/>
        <v xml:space="preserve"> </v>
      </c>
      <c r="Q232" s="468" t="str">
        <f t="shared" si="111"/>
        <v xml:space="preserve"> </v>
      </c>
      <c r="R232" s="468" t="str">
        <f t="shared" si="112"/>
        <v xml:space="preserve"> </v>
      </c>
      <c r="S232" s="468" t="str">
        <f t="shared" si="113"/>
        <v xml:space="preserve"> </v>
      </c>
      <c r="T232" s="468" t="str">
        <f t="shared" si="114"/>
        <v xml:space="preserve"> </v>
      </c>
      <c r="U232" s="405"/>
      <c r="V232" s="405"/>
      <c r="W232" s="405"/>
      <c r="X232" s="405"/>
      <c r="Y232" s="405"/>
      <c r="Z232" s="405"/>
      <c r="AA232" s="405"/>
      <c r="AB232" s="405"/>
      <c r="AC232" s="389" t="e">
        <f t="shared" si="94"/>
        <v>#N/A</v>
      </c>
      <c r="AD232" s="390">
        <f t="shared" si="95"/>
        <v>0</v>
      </c>
      <c r="AE232" s="390">
        <f t="shared" si="96"/>
        <v>0</v>
      </c>
      <c r="AF232" s="391">
        <f t="shared" si="97"/>
        <v>0</v>
      </c>
      <c r="AG232" s="392">
        <f t="shared" si="98"/>
        <v>0</v>
      </c>
      <c r="AH232" s="392">
        <f t="shared" si="99"/>
        <v>0</v>
      </c>
      <c r="AI232" s="392">
        <f t="shared" si="100"/>
        <v>0</v>
      </c>
      <c r="AJ232" s="393">
        <f t="shared" si="101"/>
        <v>0</v>
      </c>
      <c r="AK232" s="391">
        <f t="shared" si="102"/>
        <v>0</v>
      </c>
      <c r="AL232" s="391">
        <f t="shared" si="103"/>
        <v>0</v>
      </c>
      <c r="AM232" s="391">
        <f t="shared" si="104"/>
        <v>0</v>
      </c>
      <c r="AN232" s="391">
        <f t="shared" si="105"/>
        <v>0</v>
      </c>
      <c r="AO232" s="403">
        <f t="shared" si="106"/>
        <v>0</v>
      </c>
      <c r="AP232" s="405"/>
      <c r="AQ232" s="390" t="e">
        <f t="shared" si="107"/>
        <v>#N/A</v>
      </c>
      <c r="AR232" s="408">
        <f t="shared" si="108"/>
        <v>0</v>
      </c>
      <c r="AS232" s="409" t="str">
        <f t="shared" si="93"/>
        <v/>
      </c>
      <c r="AT232" s="416"/>
    </row>
    <row r="233" spans="1:46" ht="15" x14ac:dyDescent="0.25">
      <c r="A233" s="592">
        <v>230</v>
      </c>
      <c r="B233" s="604"/>
      <c r="C233" s="302"/>
      <c r="D233" s="304"/>
      <c r="E233" s="306"/>
      <c r="F233" s="698"/>
      <c r="G233" s="304"/>
      <c r="H233" s="304"/>
      <c r="I233" s="304"/>
      <c r="J233" s="304"/>
      <c r="K233" s="307"/>
      <c r="L233" s="590" t="str">
        <f t="shared" si="92"/>
        <v/>
      </c>
      <c r="M233" s="416"/>
      <c r="N233" s="405"/>
      <c r="O233" s="468" t="str">
        <f t="shared" si="109"/>
        <v xml:space="preserve"> </v>
      </c>
      <c r="P233" s="468" t="str">
        <f t="shared" si="110"/>
        <v xml:space="preserve"> </v>
      </c>
      <c r="Q233" s="468" t="str">
        <f t="shared" si="111"/>
        <v xml:space="preserve"> </v>
      </c>
      <c r="R233" s="468" t="str">
        <f t="shared" si="112"/>
        <v xml:space="preserve"> </v>
      </c>
      <c r="S233" s="468" t="str">
        <f t="shared" si="113"/>
        <v xml:space="preserve"> </v>
      </c>
      <c r="T233" s="468" t="str">
        <f t="shared" si="114"/>
        <v xml:space="preserve"> </v>
      </c>
      <c r="U233" s="405"/>
      <c r="V233" s="405"/>
      <c r="W233" s="405"/>
      <c r="X233" s="405"/>
      <c r="Y233" s="405"/>
      <c r="Z233" s="405"/>
      <c r="AA233" s="405"/>
      <c r="AB233" s="405"/>
      <c r="AC233" s="389" t="e">
        <f t="shared" si="94"/>
        <v>#N/A</v>
      </c>
      <c r="AD233" s="390">
        <f t="shared" si="95"/>
        <v>0</v>
      </c>
      <c r="AE233" s="390">
        <f t="shared" si="96"/>
        <v>0</v>
      </c>
      <c r="AF233" s="391">
        <f t="shared" si="97"/>
        <v>0</v>
      </c>
      <c r="AG233" s="392">
        <f t="shared" si="98"/>
        <v>0</v>
      </c>
      <c r="AH233" s="392">
        <f t="shared" si="99"/>
        <v>0</v>
      </c>
      <c r="AI233" s="392">
        <f t="shared" si="100"/>
        <v>0</v>
      </c>
      <c r="AJ233" s="393">
        <f t="shared" si="101"/>
        <v>0</v>
      </c>
      <c r="AK233" s="391">
        <f t="shared" si="102"/>
        <v>0</v>
      </c>
      <c r="AL233" s="391">
        <f t="shared" si="103"/>
        <v>0</v>
      </c>
      <c r="AM233" s="391">
        <f t="shared" si="104"/>
        <v>0</v>
      </c>
      <c r="AN233" s="391">
        <f t="shared" si="105"/>
        <v>0</v>
      </c>
      <c r="AO233" s="403">
        <f t="shared" si="106"/>
        <v>0</v>
      </c>
      <c r="AP233" s="405"/>
      <c r="AQ233" s="390" t="e">
        <f t="shared" si="107"/>
        <v>#N/A</v>
      </c>
      <c r="AR233" s="408">
        <f t="shared" si="108"/>
        <v>0</v>
      </c>
      <c r="AS233" s="409" t="str">
        <f t="shared" si="93"/>
        <v/>
      </c>
      <c r="AT233" s="416"/>
    </row>
    <row r="234" spans="1:46" ht="15" x14ac:dyDescent="0.25">
      <c r="A234" s="592">
        <v>231</v>
      </c>
      <c r="B234" s="604"/>
      <c r="C234" s="302"/>
      <c r="D234" s="304"/>
      <c r="E234" s="306"/>
      <c r="F234" s="698"/>
      <c r="G234" s="304"/>
      <c r="H234" s="304"/>
      <c r="I234" s="304"/>
      <c r="J234" s="304"/>
      <c r="K234" s="307"/>
      <c r="L234" s="590" t="str">
        <f t="shared" si="92"/>
        <v/>
      </c>
      <c r="M234" s="416"/>
      <c r="N234" s="405"/>
      <c r="O234" s="468" t="str">
        <f t="shared" si="109"/>
        <v xml:space="preserve"> </v>
      </c>
      <c r="P234" s="468" t="str">
        <f t="shared" si="110"/>
        <v xml:space="preserve"> </v>
      </c>
      <c r="Q234" s="468" t="str">
        <f t="shared" si="111"/>
        <v xml:space="preserve"> </v>
      </c>
      <c r="R234" s="468" t="str">
        <f t="shared" si="112"/>
        <v xml:space="preserve"> </v>
      </c>
      <c r="S234" s="468" t="str">
        <f t="shared" si="113"/>
        <v xml:space="preserve"> </v>
      </c>
      <c r="T234" s="468" t="str">
        <f t="shared" si="114"/>
        <v xml:space="preserve"> </v>
      </c>
      <c r="U234" s="405"/>
      <c r="V234" s="405"/>
      <c r="W234" s="405"/>
      <c r="X234" s="405"/>
      <c r="Y234" s="405"/>
      <c r="Z234" s="405"/>
      <c r="AA234" s="405"/>
      <c r="AB234" s="405"/>
      <c r="AC234" s="389" t="e">
        <f t="shared" si="94"/>
        <v>#N/A</v>
      </c>
      <c r="AD234" s="390">
        <f t="shared" si="95"/>
        <v>0</v>
      </c>
      <c r="AE234" s="390">
        <f t="shared" si="96"/>
        <v>0</v>
      </c>
      <c r="AF234" s="391">
        <f t="shared" si="97"/>
        <v>0</v>
      </c>
      <c r="AG234" s="392">
        <f t="shared" si="98"/>
        <v>0</v>
      </c>
      <c r="AH234" s="392">
        <f t="shared" si="99"/>
        <v>0</v>
      </c>
      <c r="AI234" s="392">
        <f t="shared" si="100"/>
        <v>0</v>
      </c>
      <c r="AJ234" s="393">
        <f t="shared" si="101"/>
        <v>0</v>
      </c>
      <c r="AK234" s="391">
        <f t="shared" si="102"/>
        <v>0</v>
      </c>
      <c r="AL234" s="391">
        <f t="shared" si="103"/>
        <v>0</v>
      </c>
      <c r="AM234" s="391">
        <f t="shared" si="104"/>
        <v>0</v>
      </c>
      <c r="AN234" s="391">
        <f t="shared" si="105"/>
        <v>0</v>
      </c>
      <c r="AO234" s="403">
        <f t="shared" si="106"/>
        <v>0</v>
      </c>
      <c r="AP234" s="405"/>
      <c r="AQ234" s="390" t="e">
        <f t="shared" si="107"/>
        <v>#N/A</v>
      </c>
      <c r="AR234" s="408">
        <f t="shared" si="108"/>
        <v>0</v>
      </c>
      <c r="AS234" s="409" t="str">
        <f t="shared" si="93"/>
        <v/>
      </c>
      <c r="AT234" s="416"/>
    </row>
    <row r="235" spans="1:46" ht="15" x14ac:dyDescent="0.25">
      <c r="A235" s="592">
        <v>232</v>
      </c>
      <c r="B235" s="604"/>
      <c r="C235" s="302"/>
      <c r="D235" s="304"/>
      <c r="E235" s="306"/>
      <c r="F235" s="698"/>
      <c r="G235" s="304"/>
      <c r="H235" s="304"/>
      <c r="I235" s="304"/>
      <c r="J235" s="304"/>
      <c r="K235" s="307"/>
      <c r="L235" s="590" t="str">
        <f t="shared" si="92"/>
        <v/>
      </c>
      <c r="M235" s="416"/>
      <c r="N235" s="405"/>
      <c r="O235" s="468" t="str">
        <f t="shared" si="109"/>
        <v xml:space="preserve"> </v>
      </c>
      <c r="P235" s="468" t="str">
        <f t="shared" si="110"/>
        <v xml:space="preserve"> </v>
      </c>
      <c r="Q235" s="468" t="str">
        <f t="shared" si="111"/>
        <v xml:space="preserve"> </v>
      </c>
      <c r="R235" s="468" t="str">
        <f t="shared" si="112"/>
        <v xml:space="preserve"> </v>
      </c>
      <c r="S235" s="468" t="str">
        <f t="shared" si="113"/>
        <v xml:space="preserve"> </v>
      </c>
      <c r="T235" s="468" t="str">
        <f t="shared" si="114"/>
        <v xml:space="preserve"> </v>
      </c>
      <c r="U235" s="405"/>
      <c r="V235" s="405"/>
      <c r="W235" s="405"/>
      <c r="X235" s="405"/>
      <c r="Y235" s="405"/>
      <c r="Z235" s="405"/>
      <c r="AA235" s="405"/>
      <c r="AB235" s="405"/>
      <c r="AC235" s="389" t="e">
        <f t="shared" si="94"/>
        <v>#N/A</v>
      </c>
      <c r="AD235" s="390">
        <f t="shared" si="95"/>
        <v>0</v>
      </c>
      <c r="AE235" s="390">
        <f t="shared" si="96"/>
        <v>0</v>
      </c>
      <c r="AF235" s="391">
        <f t="shared" si="97"/>
        <v>0</v>
      </c>
      <c r="AG235" s="392">
        <f t="shared" si="98"/>
        <v>0</v>
      </c>
      <c r="AH235" s="392">
        <f t="shared" si="99"/>
        <v>0</v>
      </c>
      <c r="AI235" s="392">
        <f t="shared" si="100"/>
        <v>0</v>
      </c>
      <c r="AJ235" s="393">
        <f t="shared" si="101"/>
        <v>0</v>
      </c>
      <c r="AK235" s="391">
        <f t="shared" si="102"/>
        <v>0</v>
      </c>
      <c r="AL235" s="391">
        <f t="shared" si="103"/>
        <v>0</v>
      </c>
      <c r="AM235" s="391">
        <f t="shared" si="104"/>
        <v>0</v>
      </c>
      <c r="AN235" s="391">
        <f t="shared" si="105"/>
        <v>0</v>
      </c>
      <c r="AO235" s="403">
        <f t="shared" si="106"/>
        <v>0</v>
      </c>
      <c r="AP235" s="405"/>
      <c r="AQ235" s="390" t="e">
        <f t="shared" si="107"/>
        <v>#N/A</v>
      </c>
      <c r="AR235" s="408">
        <f t="shared" si="108"/>
        <v>0</v>
      </c>
      <c r="AS235" s="409" t="str">
        <f t="shared" si="93"/>
        <v/>
      </c>
      <c r="AT235" s="416"/>
    </row>
    <row r="236" spans="1:46" ht="15" x14ac:dyDescent="0.25">
      <c r="A236" s="592">
        <v>233</v>
      </c>
      <c r="B236" s="604"/>
      <c r="C236" s="302"/>
      <c r="D236" s="304"/>
      <c r="E236" s="306"/>
      <c r="F236" s="698"/>
      <c r="G236" s="304"/>
      <c r="H236" s="304"/>
      <c r="I236" s="304"/>
      <c r="J236" s="304"/>
      <c r="K236" s="307"/>
      <c r="L236" s="590" t="str">
        <f t="shared" si="92"/>
        <v/>
      </c>
      <c r="M236" s="416"/>
      <c r="N236" s="405"/>
      <c r="O236" s="468" t="str">
        <f t="shared" si="109"/>
        <v xml:space="preserve"> </v>
      </c>
      <c r="P236" s="468" t="str">
        <f t="shared" si="110"/>
        <v xml:space="preserve"> </v>
      </c>
      <c r="Q236" s="468" t="str">
        <f t="shared" si="111"/>
        <v xml:space="preserve"> </v>
      </c>
      <c r="R236" s="468" t="str">
        <f t="shared" si="112"/>
        <v xml:space="preserve"> </v>
      </c>
      <c r="S236" s="468" t="str">
        <f t="shared" si="113"/>
        <v xml:space="preserve"> </v>
      </c>
      <c r="T236" s="468" t="str">
        <f t="shared" si="114"/>
        <v xml:space="preserve"> </v>
      </c>
      <c r="U236" s="405"/>
      <c r="V236" s="405"/>
      <c r="W236" s="405"/>
      <c r="X236" s="405"/>
      <c r="Y236" s="405"/>
      <c r="Z236" s="405"/>
      <c r="AA236" s="405"/>
      <c r="AB236" s="405"/>
      <c r="AC236" s="389" t="e">
        <f t="shared" si="94"/>
        <v>#N/A</v>
      </c>
      <c r="AD236" s="390">
        <f t="shared" si="95"/>
        <v>0</v>
      </c>
      <c r="AE236" s="390">
        <f t="shared" si="96"/>
        <v>0</v>
      </c>
      <c r="AF236" s="391">
        <f t="shared" si="97"/>
        <v>0</v>
      </c>
      <c r="AG236" s="392">
        <f t="shared" si="98"/>
        <v>0</v>
      </c>
      <c r="AH236" s="392">
        <f t="shared" si="99"/>
        <v>0</v>
      </c>
      <c r="AI236" s="392">
        <f t="shared" si="100"/>
        <v>0</v>
      </c>
      <c r="AJ236" s="393">
        <f t="shared" si="101"/>
        <v>0</v>
      </c>
      <c r="AK236" s="391">
        <f t="shared" si="102"/>
        <v>0</v>
      </c>
      <c r="AL236" s="391">
        <f t="shared" si="103"/>
        <v>0</v>
      </c>
      <c r="AM236" s="391">
        <f t="shared" si="104"/>
        <v>0</v>
      </c>
      <c r="AN236" s="391">
        <f t="shared" si="105"/>
        <v>0</v>
      </c>
      <c r="AO236" s="403">
        <f t="shared" si="106"/>
        <v>0</v>
      </c>
      <c r="AP236" s="405"/>
      <c r="AQ236" s="390" t="e">
        <f t="shared" si="107"/>
        <v>#N/A</v>
      </c>
      <c r="AR236" s="408">
        <f t="shared" si="108"/>
        <v>0</v>
      </c>
      <c r="AS236" s="409" t="str">
        <f t="shared" si="93"/>
        <v/>
      </c>
      <c r="AT236" s="416"/>
    </row>
    <row r="237" spans="1:46" ht="15" x14ac:dyDescent="0.25">
      <c r="A237" s="592">
        <v>234</v>
      </c>
      <c r="B237" s="604"/>
      <c r="C237" s="302"/>
      <c r="D237" s="304"/>
      <c r="E237" s="306"/>
      <c r="F237" s="698"/>
      <c r="G237" s="304"/>
      <c r="H237" s="304"/>
      <c r="I237" s="304"/>
      <c r="J237" s="304"/>
      <c r="K237" s="307"/>
      <c r="L237" s="590" t="str">
        <f t="shared" si="92"/>
        <v/>
      </c>
      <c r="M237" s="416"/>
      <c r="N237" s="405"/>
      <c r="O237" s="468" t="str">
        <f t="shared" si="109"/>
        <v xml:space="preserve"> </v>
      </c>
      <c r="P237" s="468" t="str">
        <f t="shared" si="110"/>
        <v xml:space="preserve"> </v>
      </c>
      <c r="Q237" s="468" t="str">
        <f t="shared" si="111"/>
        <v xml:space="preserve"> </v>
      </c>
      <c r="R237" s="468" t="str">
        <f t="shared" si="112"/>
        <v xml:space="preserve"> </v>
      </c>
      <c r="S237" s="468" t="str">
        <f t="shared" si="113"/>
        <v xml:space="preserve"> </v>
      </c>
      <c r="T237" s="468" t="str">
        <f t="shared" si="114"/>
        <v xml:space="preserve"> </v>
      </c>
      <c r="U237" s="405"/>
      <c r="V237" s="405"/>
      <c r="W237" s="405"/>
      <c r="X237" s="405"/>
      <c r="Y237" s="405"/>
      <c r="Z237" s="405"/>
      <c r="AA237" s="405"/>
      <c r="AB237" s="405"/>
      <c r="AC237" s="389" t="e">
        <f t="shared" si="94"/>
        <v>#N/A</v>
      </c>
      <c r="AD237" s="390">
        <f t="shared" si="95"/>
        <v>0</v>
      </c>
      <c r="AE237" s="390">
        <f t="shared" si="96"/>
        <v>0</v>
      </c>
      <c r="AF237" s="391">
        <f t="shared" si="97"/>
        <v>0</v>
      </c>
      <c r="AG237" s="392">
        <f t="shared" si="98"/>
        <v>0</v>
      </c>
      <c r="AH237" s="392">
        <f t="shared" si="99"/>
        <v>0</v>
      </c>
      <c r="AI237" s="392">
        <f t="shared" si="100"/>
        <v>0</v>
      </c>
      <c r="AJ237" s="393">
        <f t="shared" si="101"/>
        <v>0</v>
      </c>
      <c r="AK237" s="391">
        <f t="shared" si="102"/>
        <v>0</v>
      </c>
      <c r="AL237" s="391">
        <f t="shared" si="103"/>
        <v>0</v>
      </c>
      <c r="AM237" s="391">
        <f t="shared" si="104"/>
        <v>0</v>
      </c>
      <c r="AN237" s="391">
        <f t="shared" si="105"/>
        <v>0</v>
      </c>
      <c r="AO237" s="403">
        <f t="shared" si="106"/>
        <v>0</v>
      </c>
      <c r="AP237" s="405"/>
      <c r="AQ237" s="390" t="e">
        <f t="shared" si="107"/>
        <v>#N/A</v>
      </c>
      <c r="AR237" s="408">
        <f t="shared" si="108"/>
        <v>0</v>
      </c>
      <c r="AS237" s="409" t="str">
        <f t="shared" si="93"/>
        <v/>
      </c>
      <c r="AT237" s="416"/>
    </row>
    <row r="238" spans="1:46" ht="15" x14ac:dyDescent="0.25">
      <c r="A238" s="592">
        <v>235</v>
      </c>
      <c r="B238" s="604"/>
      <c r="C238" s="302"/>
      <c r="D238" s="304"/>
      <c r="E238" s="306"/>
      <c r="F238" s="698"/>
      <c r="G238" s="304"/>
      <c r="H238" s="304"/>
      <c r="I238" s="304"/>
      <c r="J238" s="304"/>
      <c r="K238" s="307"/>
      <c r="L238" s="590" t="str">
        <f t="shared" si="92"/>
        <v/>
      </c>
      <c r="M238" s="416"/>
      <c r="N238" s="405"/>
      <c r="O238" s="468" t="str">
        <f t="shared" si="109"/>
        <v xml:space="preserve"> </v>
      </c>
      <c r="P238" s="468" t="str">
        <f t="shared" si="110"/>
        <v xml:space="preserve"> </v>
      </c>
      <c r="Q238" s="468" t="str">
        <f t="shared" si="111"/>
        <v xml:space="preserve"> </v>
      </c>
      <c r="R238" s="468" t="str">
        <f t="shared" si="112"/>
        <v xml:space="preserve"> </v>
      </c>
      <c r="S238" s="468" t="str">
        <f t="shared" si="113"/>
        <v xml:space="preserve"> </v>
      </c>
      <c r="T238" s="468" t="str">
        <f t="shared" si="114"/>
        <v xml:space="preserve"> </v>
      </c>
      <c r="U238" s="405"/>
      <c r="V238" s="405"/>
      <c r="W238" s="405"/>
      <c r="X238" s="405"/>
      <c r="Y238" s="405"/>
      <c r="Z238" s="405"/>
      <c r="AA238" s="405"/>
      <c r="AB238" s="405"/>
      <c r="AC238" s="389" t="e">
        <f t="shared" si="94"/>
        <v>#N/A</v>
      </c>
      <c r="AD238" s="390">
        <f t="shared" si="95"/>
        <v>0</v>
      </c>
      <c r="AE238" s="390">
        <f t="shared" si="96"/>
        <v>0</v>
      </c>
      <c r="AF238" s="391">
        <f t="shared" si="97"/>
        <v>0</v>
      </c>
      <c r="AG238" s="392">
        <f t="shared" si="98"/>
        <v>0</v>
      </c>
      <c r="AH238" s="392">
        <f t="shared" si="99"/>
        <v>0</v>
      </c>
      <c r="AI238" s="392">
        <f t="shared" si="100"/>
        <v>0</v>
      </c>
      <c r="AJ238" s="393">
        <f t="shared" si="101"/>
        <v>0</v>
      </c>
      <c r="AK238" s="391">
        <f t="shared" si="102"/>
        <v>0</v>
      </c>
      <c r="AL238" s="391">
        <f t="shared" si="103"/>
        <v>0</v>
      </c>
      <c r="AM238" s="391">
        <f t="shared" si="104"/>
        <v>0</v>
      </c>
      <c r="AN238" s="391">
        <f t="shared" si="105"/>
        <v>0</v>
      </c>
      <c r="AO238" s="403">
        <f t="shared" si="106"/>
        <v>0</v>
      </c>
      <c r="AP238" s="405"/>
      <c r="AQ238" s="390" t="e">
        <f t="shared" si="107"/>
        <v>#N/A</v>
      </c>
      <c r="AR238" s="408">
        <f t="shared" si="108"/>
        <v>0</v>
      </c>
      <c r="AS238" s="409" t="str">
        <f t="shared" si="93"/>
        <v/>
      </c>
      <c r="AT238" s="416"/>
    </row>
    <row r="239" spans="1:46" ht="15" x14ac:dyDescent="0.25">
      <c r="A239" s="592">
        <v>236</v>
      </c>
      <c r="B239" s="604"/>
      <c r="C239" s="302"/>
      <c r="D239" s="304"/>
      <c r="E239" s="306"/>
      <c r="F239" s="698"/>
      <c r="G239" s="304"/>
      <c r="H239" s="304"/>
      <c r="I239" s="304"/>
      <c r="J239" s="304"/>
      <c r="K239" s="307"/>
      <c r="L239" s="590" t="str">
        <f t="shared" si="92"/>
        <v/>
      </c>
      <c r="M239" s="416"/>
      <c r="N239" s="405"/>
      <c r="O239" s="468" t="str">
        <f t="shared" si="109"/>
        <v xml:space="preserve"> </v>
      </c>
      <c r="P239" s="468" t="str">
        <f t="shared" si="110"/>
        <v xml:space="preserve"> </v>
      </c>
      <c r="Q239" s="468" t="str">
        <f t="shared" si="111"/>
        <v xml:space="preserve"> </v>
      </c>
      <c r="R239" s="468" t="str">
        <f t="shared" si="112"/>
        <v xml:space="preserve"> </v>
      </c>
      <c r="S239" s="468" t="str">
        <f t="shared" si="113"/>
        <v xml:space="preserve"> </v>
      </c>
      <c r="T239" s="468" t="str">
        <f t="shared" si="114"/>
        <v xml:space="preserve"> </v>
      </c>
      <c r="U239" s="405"/>
      <c r="V239" s="405"/>
      <c r="W239" s="405"/>
      <c r="X239" s="405"/>
      <c r="Y239" s="405"/>
      <c r="Z239" s="405"/>
      <c r="AA239" s="405"/>
      <c r="AB239" s="405"/>
      <c r="AC239" s="389" t="e">
        <f t="shared" si="94"/>
        <v>#N/A</v>
      </c>
      <c r="AD239" s="390">
        <f t="shared" si="95"/>
        <v>0</v>
      </c>
      <c r="AE239" s="390">
        <f t="shared" si="96"/>
        <v>0</v>
      </c>
      <c r="AF239" s="391">
        <f t="shared" si="97"/>
        <v>0</v>
      </c>
      <c r="AG239" s="392">
        <f t="shared" si="98"/>
        <v>0</v>
      </c>
      <c r="AH239" s="392">
        <f t="shared" si="99"/>
        <v>0</v>
      </c>
      <c r="AI239" s="392">
        <f t="shared" si="100"/>
        <v>0</v>
      </c>
      <c r="AJ239" s="393">
        <f t="shared" si="101"/>
        <v>0</v>
      </c>
      <c r="AK239" s="391">
        <f t="shared" si="102"/>
        <v>0</v>
      </c>
      <c r="AL239" s="391">
        <f t="shared" si="103"/>
        <v>0</v>
      </c>
      <c r="AM239" s="391">
        <f t="shared" si="104"/>
        <v>0</v>
      </c>
      <c r="AN239" s="391">
        <f t="shared" si="105"/>
        <v>0</v>
      </c>
      <c r="AO239" s="403">
        <f t="shared" si="106"/>
        <v>0</v>
      </c>
      <c r="AP239" s="405"/>
      <c r="AQ239" s="390" t="e">
        <f t="shared" si="107"/>
        <v>#N/A</v>
      </c>
      <c r="AR239" s="408">
        <f t="shared" si="108"/>
        <v>0</v>
      </c>
      <c r="AS239" s="409" t="str">
        <f t="shared" si="93"/>
        <v/>
      </c>
      <c r="AT239" s="416"/>
    </row>
    <row r="240" spans="1:46" ht="15" x14ac:dyDescent="0.25">
      <c r="A240" s="592">
        <v>237</v>
      </c>
      <c r="B240" s="604"/>
      <c r="C240" s="302"/>
      <c r="D240" s="304"/>
      <c r="E240" s="306"/>
      <c r="F240" s="698"/>
      <c r="G240" s="304"/>
      <c r="H240" s="304"/>
      <c r="I240" s="304"/>
      <c r="J240" s="304"/>
      <c r="K240" s="307"/>
      <c r="L240" s="590" t="str">
        <f t="shared" si="92"/>
        <v/>
      </c>
      <c r="M240" s="416"/>
      <c r="N240" s="405"/>
      <c r="O240" s="468" t="str">
        <f t="shared" si="109"/>
        <v xml:space="preserve"> </v>
      </c>
      <c r="P240" s="468" t="str">
        <f t="shared" si="110"/>
        <v xml:space="preserve"> </v>
      </c>
      <c r="Q240" s="468" t="str">
        <f t="shared" si="111"/>
        <v xml:space="preserve"> </v>
      </c>
      <c r="R240" s="468" t="str">
        <f t="shared" si="112"/>
        <v xml:space="preserve"> </v>
      </c>
      <c r="S240" s="468" t="str">
        <f t="shared" si="113"/>
        <v xml:space="preserve"> </v>
      </c>
      <c r="T240" s="468" t="str">
        <f t="shared" si="114"/>
        <v xml:space="preserve"> </v>
      </c>
      <c r="U240" s="405"/>
      <c r="V240" s="405"/>
      <c r="W240" s="405"/>
      <c r="X240" s="405"/>
      <c r="Y240" s="405"/>
      <c r="Z240" s="405"/>
      <c r="AA240" s="405"/>
      <c r="AB240" s="405"/>
      <c r="AC240" s="389" t="e">
        <f t="shared" si="94"/>
        <v>#N/A</v>
      </c>
      <c r="AD240" s="390">
        <f t="shared" si="95"/>
        <v>0</v>
      </c>
      <c r="AE240" s="390">
        <f t="shared" si="96"/>
        <v>0</v>
      </c>
      <c r="AF240" s="391">
        <f t="shared" si="97"/>
        <v>0</v>
      </c>
      <c r="AG240" s="392">
        <f t="shared" si="98"/>
        <v>0</v>
      </c>
      <c r="AH240" s="392">
        <f t="shared" si="99"/>
        <v>0</v>
      </c>
      <c r="AI240" s="392">
        <f t="shared" si="100"/>
        <v>0</v>
      </c>
      <c r="AJ240" s="393">
        <f t="shared" si="101"/>
        <v>0</v>
      </c>
      <c r="AK240" s="391">
        <f t="shared" si="102"/>
        <v>0</v>
      </c>
      <c r="AL240" s="391">
        <f t="shared" si="103"/>
        <v>0</v>
      </c>
      <c r="AM240" s="391">
        <f t="shared" si="104"/>
        <v>0</v>
      </c>
      <c r="AN240" s="391">
        <f t="shared" si="105"/>
        <v>0</v>
      </c>
      <c r="AO240" s="403">
        <f t="shared" si="106"/>
        <v>0</v>
      </c>
      <c r="AP240" s="405"/>
      <c r="AQ240" s="390" t="e">
        <f t="shared" si="107"/>
        <v>#N/A</v>
      </c>
      <c r="AR240" s="408">
        <f t="shared" si="108"/>
        <v>0</v>
      </c>
      <c r="AS240" s="409" t="str">
        <f t="shared" si="93"/>
        <v/>
      </c>
      <c r="AT240" s="416"/>
    </row>
    <row r="241" spans="1:46" ht="15" x14ac:dyDescent="0.25">
      <c r="A241" s="592">
        <v>238</v>
      </c>
      <c r="B241" s="604"/>
      <c r="C241" s="302"/>
      <c r="D241" s="304"/>
      <c r="E241" s="306"/>
      <c r="F241" s="698"/>
      <c r="G241" s="304"/>
      <c r="H241" s="304"/>
      <c r="I241" s="304"/>
      <c r="J241" s="304"/>
      <c r="K241" s="307"/>
      <c r="L241" s="590" t="str">
        <f t="shared" si="92"/>
        <v/>
      </c>
      <c r="M241" s="416"/>
      <c r="N241" s="405"/>
      <c r="O241" s="468" t="str">
        <f t="shared" si="109"/>
        <v xml:space="preserve"> </v>
      </c>
      <c r="P241" s="468" t="str">
        <f t="shared" si="110"/>
        <v xml:space="preserve"> </v>
      </c>
      <c r="Q241" s="468" t="str">
        <f t="shared" si="111"/>
        <v xml:space="preserve"> </v>
      </c>
      <c r="R241" s="468" t="str">
        <f t="shared" si="112"/>
        <v xml:space="preserve"> </v>
      </c>
      <c r="S241" s="468" t="str">
        <f t="shared" si="113"/>
        <v xml:space="preserve"> </v>
      </c>
      <c r="T241" s="468" t="str">
        <f t="shared" si="114"/>
        <v xml:space="preserve"> </v>
      </c>
      <c r="U241" s="405"/>
      <c r="V241" s="405"/>
      <c r="W241" s="405"/>
      <c r="X241" s="405"/>
      <c r="Y241" s="405"/>
      <c r="Z241" s="405"/>
      <c r="AA241" s="405"/>
      <c r="AB241" s="405"/>
      <c r="AC241" s="389" t="e">
        <f t="shared" si="94"/>
        <v>#N/A</v>
      </c>
      <c r="AD241" s="390">
        <f t="shared" si="95"/>
        <v>0</v>
      </c>
      <c r="AE241" s="390">
        <f t="shared" si="96"/>
        <v>0</v>
      </c>
      <c r="AF241" s="391">
        <f t="shared" si="97"/>
        <v>0</v>
      </c>
      <c r="AG241" s="392">
        <f t="shared" si="98"/>
        <v>0</v>
      </c>
      <c r="AH241" s="392">
        <f t="shared" si="99"/>
        <v>0</v>
      </c>
      <c r="AI241" s="392">
        <f t="shared" si="100"/>
        <v>0</v>
      </c>
      <c r="AJ241" s="393">
        <f t="shared" si="101"/>
        <v>0</v>
      </c>
      <c r="AK241" s="391">
        <f t="shared" si="102"/>
        <v>0</v>
      </c>
      <c r="AL241" s="391">
        <f t="shared" si="103"/>
        <v>0</v>
      </c>
      <c r="AM241" s="391">
        <f t="shared" si="104"/>
        <v>0</v>
      </c>
      <c r="AN241" s="391">
        <f t="shared" si="105"/>
        <v>0</v>
      </c>
      <c r="AO241" s="403">
        <f t="shared" si="106"/>
        <v>0</v>
      </c>
      <c r="AP241" s="405"/>
      <c r="AQ241" s="390" t="e">
        <f t="shared" si="107"/>
        <v>#N/A</v>
      </c>
      <c r="AR241" s="408">
        <f t="shared" si="108"/>
        <v>0</v>
      </c>
      <c r="AS241" s="409" t="str">
        <f t="shared" si="93"/>
        <v/>
      </c>
      <c r="AT241" s="416"/>
    </row>
    <row r="242" spans="1:46" ht="15" x14ac:dyDescent="0.25">
      <c r="A242" s="592">
        <v>239</v>
      </c>
      <c r="B242" s="604"/>
      <c r="C242" s="302"/>
      <c r="D242" s="304"/>
      <c r="E242" s="306"/>
      <c r="F242" s="698"/>
      <c r="G242" s="304"/>
      <c r="H242" s="304"/>
      <c r="I242" s="304"/>
      <c r="J242" s="304"/>
      <c r="K242" s="307"/>
      <c r="L242" s="590" t="str">
        <f t="shared" si="92"/>
        <v/>
      </c>
      <c r="M242" s="416"/>
      <c r="N242" s="405"/>
      <c r="O242" s="468" t="str">
        <f t="shared" si="109"/>
        <v xml:space="preserve"> </v>
      </c>
      <c r="P242" s="468" t="str">
        <f t="shared" si="110"/>
        <v xml:space="preserve"> </v>
      </c>
      <c r="Q242" s="468" t="str">
        <f t="shared" si="111"/>
        <v xml:space="preserve"> </v>
      </c>
      <c r="R242" s="468" t="str">
        <f t="shared" si="112"/>
        <v xml:space="preserve"> </v>
      </c>
      <c r="S242" s="468" t="str">
        <f t="shared" si="113"/>
        <v xml:space="preserve"> </v>
      </c>
      <c r="T242" s="468" t="str">
        <f t="shared" si="114"/>
        <v xml:space="preserve"> </v>
      </c>
      <c r="U242" s="405"/>
      <c r="V242" s="405"/>
      <c r="W242" s="405"/>
      <c r="X242" s="405"/>
      <c r="Y242" s="405"/>
      <c r="Z242" s="405"/>
      <c r="AA242" s="405"/>
      <c r="AB242" s="405"/>
      <c r="AC242" s="389" t="e">
        <f t="shared" si="94"/>
        <v>#N/A</v>
      </c>
      <c r="AD242" s="390">
        <f t="shared" si="95"/>
        <v>0</v>
      </c>
      <c r="AE242" s="390">
        <f t="shared" si="96"/>
        <v>0</v>
      </c>
      <c r="AF242" s="391">
        <f t="shared" si="97"/>
        <v>0</v>
      </c>
      <c r="AG242" s="392">
        <f t="shared" si="98"/>
        <v>0</v>
      </c>
      <c r="AH242" s="392">
        <f t="shared" si="99"/>
        <v>0</v>
      </c>
      <c r="AI242" s="392">
        <f t="shared" si="100"/>
        <v>0</v>
      </c>
      <c r="AJ242" s="393">
        <f t="shared" si="101"/>
        <v>0</v>
      </c>
      <c r="AK242" s="391">
        <f t="shared" si="102"/>
        <v>0</v>
      </c>
      <c r="AL242" s="391">
        <f t="shared" si="103"/>
        <v>0</v>
      </c>
      <c r="AM242" s="391">
        <f t="shared" si="104"/>
        <v>0</v>
      </c>
      <c r="AN242" s="391">
        <f t="shared" si="105"/>
        <v>0</v>
      </c>
      <c r="AO242" s="403">
        <f t="shared" si="106"/>
        <v>0</v>
      </c>
      <c r="AP242" s="405"/>
      <c r="AQ242" s="390" t="e">
        <f t="shared" si="107"/>
        <v>#N/A</v>
      </c>
      <c r="AR242" s="408">
        <f t="shared" si="108"/>
        <v>0</v>
      </c>
      <c r="AS242" s="409" t="str">
        <f t="shared" si="93"/>
        <v/>
      </c>
      <c r="AT242" s="416"/>
    </row>
    <row r="243" spans="1:46" ht="15" x14ac:dyDescent="0.25">
      <c r="A243" s="592">
        <v>240</v>
      </c>
      <c r="B243" s="604"/>
      <c r="C243" s="302"/>
      <c r="D243" s="304"/>
      <c r="E243" s="306"/>
      <c r="F243" s="698"/>
      <c r="G243" s="304"/>
      <c r="H243" s="304"/>
      <c r="I243" s="304"/>
      <c r="J243" s="304"/>
      <c r="K243" s="307"/>
      <c r="L243" s="590" t="str">
        <f t="shared" si="92"/>
        <v/>
      </c>
      <c r="M243" s="416"/>
      <c r="N243" s="405"/>
      <c r="O243" s="468" t="str">
        <f t="shared" si="109"/>
        <v xml:space="preserve"> </v>
      </c>
      <c r="P243" s="468" t="str">
        <f t="shared" si="110"/>
        <v xml:space="preserve"> </v>
      </c>
      <c r="Q243" s="468" t="str">
        <f t="shared" si="111"/>
        <v xml:space="preserve"> </v>
      </c>
      <c r="R243" s="468" t="str">
        <f t="shared" si="112"/>
        <v xml:space="preserve"> </v>
      </c>
      <c r="S243" s="468" t="str">
        <f t="shared" si="113"/>
        <v xml:space="preserve"> </v>
      </c>
      <c r="T243" s="468" t="str">
        <f t="shared" si="114"/>
        <v xml:space="preserve"> </v>
      </c>
      <c r="U243" s="405"/>
      <c r="V243" s="405"/>
      <c r="W243" s="405"/>
      <c r="X243" s="405"/>
      <c r="Y243" s="405"/>
      <c r="Z243" s="405"/>
      <c r="AA243" s="405"/>
      <c r="AB243" s="405"/>
      <c r="AC243" s="389" t="e">
        <f t="shared" si="94"/>
        <v>#N/A</v>
      </c>
      <c r="AD243" s="390">
        <f t="shared" si="95"/>
        <v>0</v>
      </c>
      <c r="AE243" s="390">
        <f t="shared" si="96"/>
        <v>0</v>
      </c>
      <c r="AF243" s="391">
        <f t="shared" si="97"/>
        <v>0</v>
      </c>
      <c r="AG243" s="392">
        <f t="shared" si="98"/>
        <v>0</v>
      </c>
      <c r="AH243" s="392">
        <f t="shared" si="99"/>
        <v>0</v>
      </c>
      <c r="AI243" s="392">
        <f t="shared" si="100"/>
        <v>0</v>
      </c>
      <c r="AJ243" s="393">
        <f t="shared" si="101"/>
        <v>0</v>
      </c>
      <c r="AK243" s="391">
        <f t="shared" si="102"/>
        <v>0</v>
      </c>
      <c r="AL243" s="391">
        <f t="shared" si="103"/>
        <v>0</v>
      </c>
      <c r="AM243" s="391">
        <f t="shared" si="104"/>
        <v>0</v>
      </c>
      <c r="AN243" s="391">
        <f t="shared" si="105"/>
        <v>0</v>
      </c>
      <c r="AO243" s="403">
        <f t="shared" si="106"/>
        <v>0</v>
      </c>
      <c r="AP243" s="405"/>
      <c r="AQ243" s="390" t="e">
        <f t="shared" si="107"/>
        <v>#N/A</v>
      </c>
      <c r="AR243" s="408">
        <f t="shared" si="108"/>
        <v>0</v>
      </c>
      <c r="AS243" s="409" t="str">
        <f t="shared" si="93"/>
        <v/>
      </c>
      <c r="AT243" s="416"/>
    </row>
    <row r="244" spans="1:46" ht="15" x14ac:dyDescent="0.25">
      <c r="A244" s="592">
        <v>241</v>
      </c>
      <c r="B244" s="604"/>
      <c r="C244" s="302"/>
      <c r="D244" s="304"/>
      <c r="E244" s="306"/>
      <c r="F244" s="698"/>
      <c r="G244" s="304"/>
      <c r="H244" s="304"/>
      <c r="I244" s="304"/>
      <c r="J244" s="304"/>
      <c r="K244" s="307"/>
      <c r="L244" s="590" t="str">
        <f t="shared" si="92"/>
        <v/>
      </c>
      <c r="M244" s="416"/>
      <c r="N244" s="405"/>
      <c r="O244" s="468" t="str">
        <f t="shared" si="109"/>
        <v xml:space="preserve"> </v>
      </c>
      <c r="P244" s="468" t="str">
        <f t="shared" si="110"/>
        <v xml:space="preserve"> </v>
      </c>
      <c r="Q244" s="468" t="str">
        <f t="shared" si="111"/>
        <v xml:space="preserve"> </v>
      </c>
      <c r="R244" s="468" t="str">
        <f t="shared" si="112"/>
        <v xml:space="preserve"> </v>
      </c>
      <c r="S244" s="468" t="str">
        <f t="shared" si="113"/>
        <v xml:space="preserve"> </v>
      </c>
      <c r="T244" s="468" t="str">
        <f t="shared" si="114"/>
        <v xml:space="preserve"> </v>
      </c>
      <c r="U244" s="405"/>
      <c r="V244" s="405"/>
      <c r="W244" s="405"/>
      <c r="X244" s="405"/>
      <c r="Y244" s="405"/>
      <c r="Z244" s="405"/>
      <c r="AA244" s="405"/>
      <c r="AB244" s="405"/>
      <c r="AC244" s="389" t="e">
        <f t="shared" si="94"/>
        <v>#N/A</v>
      </c>
      <c r="AD244" s="390">
        <f t="shared" si="95"/>
        <v>0</v>
      </c>
      <c r="AE244" s="390">
        <f t="shared" si="96"/>
        <v>0</v>
      </c>
      <c r="AF244" s="391">
        <f t="shared" si="97"/>
        <v>0</v>
      </c>
      <c r="AG244" s="392">
        <f t="shared" si="98"/>
        <v>0</v>
      </c>
      <c r="AH244" s="392">
        <f t="shared" si="99"/>
        <v>0</v>
      </c>
      <c r="AI244" s="392">
        <f t="shared" si="100"/>
        <v>0</v>
      </c>
      <c r="AJ244" s="393">
        <f t="shared" si="101"/>
        <v>0</v>
      </c>
      <c r="AK244" s="391">
        <f t="shared" si="102"/>
        <v>0</v>
      </c>
      <c r="AL244" s="391">
        <f t="shared" si="103"/>
        <v>0</v>
      </c>
      <c r="AM244" s="391">
        <f t="shared" si="104"/>
        <v>0</v>
      </c>
      <c r="AN244" s="391">
        <f t="shared" si="105"/>
        <v>0</v>
      </c>
      <c r="AO244" s="403">
        <f t="shared" si="106"/>
        <v>0</v>
      </c>
      <c r="AP244" s="405"/>
      <c r="AQ244" s="390" t="e">
        <f t="shared" si="107"/>
        <v>#N/A</v>
      </c>
      <c r="AR244" s="408">
        <f t="shared" si="108"/>
        <v>0</v>
      </c>
      <c r="AS244" s="409" t="str">
        <f t="shared" si="93"/>
        <v/>
      </c>
      <c r="AT244" s="416"/>
    </row>
    <row r="245" spans="1:46" ht="15" x14ac:dyDescent="0.25">
      <c r="A245" s="592">
        <v>242</v>
      </c>
      <c r="B245" s="604"/>
      <c r="C245" s="302"/>
      <c r="D245" s="304"/>
      <c r="E245" s="306"/>
      <c r="F245" s="698"/>
      <c r="G245" s="304"/>
      <c r="H245" s="304"/>
      <c r="I245" s="304"/>
      <c r="J245" s="304"/>
      <c r="K245" s="307"/>
      <c r="L245" s="590" t="str">
        <f t="shared" si="92"/>
        <v/>
      </c>
      <c r="M245" s="416"/>
      <c r="N245" s="405"/>
      <c r="O245" s="468" t="str">
        <f t="shared" si="109"/>
        <v xml:space="preserve"> </v>
      </c>
      <c r="P245" s="468" t="str">
        <f t="shared" si="110"/>
        <v xml:space="preserve"> </v>
      </c>
      <c r="Q245" s="468" t="str">
        <f t="shared" si="111"/>
        <v xml:space="preserve"> </v>
      </c>
      <c r="R245" s="468" t="str">
        <f t="shared" si="112"/>
        <v xml:space="preserve"> </v>
      </c>
      <c r="S245" s="468" t="str">
        <f t="shared" si="113"/>
        <v xml:space="preserve"> </v>
      </c>
      <c r="T245" s="468" t="str">
        <f t="shared" si="114"/>
        <v xml:space="preserve"> </v>
      </c>
      <c r="U245" s="405"/>
      <c r="V245" s="405"/>
      <c r="W245" s="405"/>
      <c r="X245" s="405"/>
      <c r="Y245" s="405"/>
      <c r="Z245" s="405"/>
      <c r="AA245" s="405"/>
      <c r="AB245" s="405"/>
      <c r="AC245" s="389" t="e">
        <f t="shared" si="94"/>
        <v>#N/A</v>
      </c>
      <c r="AD245" s="390">
        <f t="shared" si="95"/>
        <v>0</v>
      </c>
      <c r="AE245" s="390">
        <f t="shared" si="96"/>
        <v>0</v>
      </c>
      <c r="AF245" s="391">
        <f t="shared" si="97"/>
        <v>0</v>
      </c>
      <c r="AG245" s="392">
        <f t="shared" si="98"/>
        <v>0</v>
      </c>
      <c r="AH245" s="392">
        <f t="shared" si="99"/>
        <v>0</v>
      </c>
      <c r="AI245" s="392">
        <f t="shared" si="100"/>
        <v>0</v>
      </c>
      <c r="AJ245" s="393">
        <f t="shared" si="101"/>
        <v>0</v>
      </c>
      <c r="AK245" s="391">
        <f t="shared" si="102"/>
        <v>0</v>
      </c>
      <c r="AL245" s="391">
        <f t="shared" si="103"/>
        <v>0</v>
      </c>
      <c r="AM245" s="391">
        <f t="shared" si="104"/>
        <v>0</v>
      </c>
      <c r="AN245" s="391">
        <f t="shared" si="105"/>
        <v>0</v>
      </c>
      <c r="AO245" s="403">
        <f t="shared" si="106"/>
        <v>0</v>
      </c>
      <c r="AP245" s="405"/>
      <c r="AQ245" s="390" t="e">
        <f t="shared" si="107"/>
        <v>#N/A</v>
      </c>
      <c r="AR245" s="408">
        <f t="shared" si="108"/>
        <v>0</v>
      </c>
      <c r="AS245" s="409" t="str">
        <f t="shared" si="93"/>
        <v/>
      </c>
      <c r="AT245" s="416"/>
    </row>
    <row r="246" spans="1:46" ht="15" x14ac:dyDescent="0.25">
      <c r="A246" s="592">
        <v>243</v>
      </c>
      <c r="B246" s="604"/>
      <c r="C246" s="302"/>
      <c r="D246" s="304"/>
      <c r="E246" s="306"/>
      <c r="F246" s="698"/>
      <c r="G246" s="304"/>
      <c r="H246" s="304"/>
      <c r="I246" s="304"/>
      <c r="J246" s="304"/>
      <c r="K246" s="307"/>
      <c r="L246" s="590" t="str">
        <f t="shared" si="92"/>
        <v/>
      </c>
      <c r="M246" s="416"/>
      <c r="N246" s="405"/>
      <c r="O246" s="468" t="str">
        <f t="shared" si="109"/>
        <v xml:space="preserve"> </v>
      </c>
      <c r="P246" s="468" t="str">
        <f t="shared" si="110"/>
        <v xml:space="preserve"> </v>
      </c>
      <c r="Q246" s="468" t="str">
        <f t="shared" si="111"/>
        <v xml:space="preserve"> </v>
      </c>
      <c r="R246" s="468" t="str">
        <f t="shared" si="112"/>
        <v xml:space="preserve"> </v>
      </c>
      <c r="S246" s="468" t="str">
        <f t="shared" si="113"/>
        <v xml:space="preserve"> </v>
      </c>
      <c r="T246" s="468" t="str">
        <f t="shared" si="114"/>
        <v xml:space="preserve"> </v>
      </c>
      <c r="U246" s="405"/>
      <c r="V246" s="405"/>
      <c r="W246" s="405"/>
      <c r="X246" s="405"/>
      <c r="Y246" s="405"/>
      <c r="Z246" s="405"/>
      <c r="AA246" s="405"/>
      <c r="AB246" s="405"/>
      <c r="AC246" s="389" t="e">
        <f t="shared" si="94"/>
        <v>#N/A</v>
      </c>
      <c r="AD246" s="390">
        <f t="shared" si="95"/>
        <v>0</v>
      </c>
      <c r="AE246" s="390">
        <f t="shared" si="96"/>
        <v>0</v>
      </c>
      <c r="AF246" s="391">
        <f t="shared" si="97"/>
        <v>0</v>
      </c>
      <c r="AG246" s="392">
        <f t="shared" si="98"/>
        <v>0</v>
      </c>
      <c r="AH246" s="392">
        <f t="shared" si="99"/>
        <v>0</v>
      </c>
      <c r="AI246" s="392">
        <f t="shared" si="100"/>
        <v>0</v>
      </c>
      <c r="AJ246" s="393">
        <f t="shared" si="101"/>
        <v>0</v>
      </c>
      <c r="AK246" s="391">
        <f t="shared" si="102"/>
        <v>0</v>
      </c>
      <c r="AL246" s="391">
        <f t="shared" si="103"/>
        <v>0</v>
      </c>
      <c r="AM246" s="391">
        <f t="shared" si="104"/>
        <v>0</v>
      </c>
      <c r="AN246" s="391">
        <f t="shared" si="105"/>
        <v>0</v>
      </c>
      <c r="AO246" s="403">
        <f t="shared" si="106"/>
        <v>0</v>
      </c>
      <c r="AP246" s="405"/>
      <c r="AQ246" s="390" t="e">
        <f t="shared" si="107"/>
        <v>#N/A</v>
      </c>
      <c r="AR246" s="408">
        <f t="shared" si="108"/>
        <v>0</v>
      </c>
      <c r="AS246" s="409" t="str">
        <f t="shared" si="93"/>
        <v/>
      </c>
      <c r="AT246" s="416"/>
    </row>
    <row r="247" spans="1:46" ht="15" x14ac:dyDescent="0.25">
      <c r="A247" s="592">
        <v>244</v>
      </c>
      <c r="B247" s="604"/>
      <c r="C247" s="302"/>
      <c r="D247" s="304"/>
      <c r="E247" s="306"/>
      <c r="F247" s="698"/>
      <c r="G247" s="304"/>
      <c r="H247" s="304"/>
      <c r="I247" s="304"/>
      <c r="J247" s="304"/>
      <c r="K247" s="307"/>
      <c r="L247" s="590" t="str">
        <f t="shared" si="92"/>
        <v/>
      </c>
      <c r="M247" s="416"/>
      <c r="N247" s="405"/>
      <c r="O247" s="468" t="str">
        <f t="shared" si="109"/>
        <v xml:space="preserve"> </v>
      </c>
      <c r="P247" s="468" t="str">
        <f t="shared" si="110"/>
        <v xml:space="preserve"> </v>
      </c>
      <c r="Q247" s="468" t="str">
        <f t="shared" si="111"/>
        <v xml:space="preserve"> </v>
      </c>
      <c r="R247" s="468" t="str">
        <f t="shared" si="112"/>
        <v xml:space="preserve"> </v>
      </c>
      <c r="S247" s="468" t="str">
        <f t="shared" si="113"/>
        <v xml:space="preserve"> </v>
      </c>
      <c r="T247" s="468" t="str">
        <f t="shared" si="114"/>
        <v xml:space="preserve"> </v>
      </c>
      <c r="U247" s="405"/>
      <c r="V247" s="405"/>
      <c r="W247" s="405"/>
      <c r="X247" s="405"/>
      <c r="Y247" s="405"/>
      <c r="Z247" s="405"/>
      <c r="AA247" s="405"/>
      <c r="AB247" s="405"/>
      <c r="AC247" s="389" t="e">
        <f t="shared" si="94"/>
        <v>#N/A</v>
      </c>
      <c r="AD247" s="390">
        <f t="shared" si="95"/>
        <v>0</v>
      </c>
      <c r="AE247" s="390">
        <f t="shared" si="96"/>
        <v>0</v>
      </c>
      <c r="AF247" s="391">
        <f t="shared" si="97"/>
        <v>0</v>
      </c>
      <c r="AG247" s="392">
        <f t="shared" si="98"/>
        <v>0</v>
      </c>
      <c r="AH247" s="392">
        <f t="shared" si="99"/>
        <v>0</v>
      </c>
      <c r="AI247" s="392">
        <f t="shared" si="100"/>
        <v>0</v>
      </c>
      <c r="AJ247" s="393">
        <f t="shared" si="101"/>
        <v>0</v>
      </c>
      <c r="AK247" s="391">
        <f t="shared" si="102"/>
        <v>0</v>
      </c>
      <c r="AL247" s="391">
        <f t="shared" si="103"/>
        <v>0</v>
      </c>
      <c r="AM247" s="391">
        <f t="shared" si="104"/>
        <v>0</v>
      </c>
      <c r="AN247" s="391">
        <f t="shared" si="105"/>
        <v>0</v>
      </c>
      <c r="AO247" s="403">
        <f t="shared" si="106"/>
        <v>0</v>
      </c>
      <c r="AP247" s="405"/>
      <c r="AQ247" s="390" t="e">
        <f t="shared" si="107"/>
        <v>#N/A</v>
      </c>
      <c r="AR247" s="408">
        <f t="shared" si="108"/>
        <v>0</v>
      </c>
      <c r="AS247" s="409" t="str">
        <f t="shared" si="93"/>
        <v/>
      </c>
      <c r="AT247" s="416"/>
    </row>
    <row r="248" spans="1:46" ht="15" x14ac:dyDescent="0.25">
      <c r="A248" s="592">
        <v>245</v>
      </c>
      <c r="B248" s="604"/>
      <c r="C248" s="302"/>
      <c r="D248" s="304"/>
      <c r="E248" s="306"/>
      <c r="F248" s="698"/>
      <c r="G248" s="304"/>
      <c r="H248" s="304"/>
      <c r="I248" s="304"/>
      <c r="J248" s="304"/>
      <c r="K248" s="307"/>
      <c r="L248" s="590" t="str">
        <f t="shared" si="92"/>
        <v/>
      </c>
      <c r="M248" s="416"/>
      <c r="N248" s="405"/>
      <c r="O248" s="468" t="str">
        <f t="shared" si="109"/>
        <v xml:space="preserve"> </v>
      </c>
      <c r="P248" s="468" t="str">
        <f t="shared" si="110"/>
        <v xml:space="preserve"> </v>
      </c>
      <c r="Q248" s="468" t="str">
        <f t="shared" si="111"/>
        <v xml:space="preserve"> </v>
      </c>
      <c r="R248" s="468" t="str">
        <f t="shared" si="112"/>
        <v xml:space="preserve"> </v>
      </c>
      <c r="S248" s="468" t="str">
        <f t="shared" si="113"/>
        <v xml:space="preserve"> </v>
      </c>
      <c r="T248" s="468" t="str">
        <f t="shared" si="114"/>
        <v xml:space="preserve"> </v>
      </c>
      <c r="U248" s="405"/>
      <c r="V248" s="405"/>
      <c r="W248" s="405"/>
      <c r="X248" s="405"/>
      <c r="Y248" s="405"/>
      <c r="Z248" s="405"/>
      <c r="AA248" s="405"/>
      <c r="AB248" s="405"/>
      <c r="AC248" s="389" t="e">
        <f t="shared" si="94"/>
        <v>#N/A</v>
      </c>
      <c r="AD248" s="390">
        <f t="shared" si="95"/>
        <v>0</v>
      </c>
      <c r="AE248" s="390">
        <f t="shared" si="96"/>
        <v>0</v>
      </c>
      <c r="AF248" s="391">
        <f t="shared" si="97"/>
        <v>0</v>
      </c>
      <c r="AG248" s="392">
        <f t="shared" si="98"/>
        <v>0</v>
      </c>
      <c r="AH248" s="392">
        <f t="shared" si="99"/>
        <v>0</v>
      </c>
      <c r="AI248" s="392">
        <f t="shared" si="100"/>
        <v>0</v>
      </c>
      <c r="AJ248" s="393">
        <f t="shared" si="101"/>
        <v>0</v>
      </c>
      <c r="AK248" s="391">
        <f t="shared" si="102"/>
        <v>0</v>
      </c>
      <c r="AL248" s="391">
        <f t="shared" si="103"/>
        <v>0</v>
      </c>
      <c r="AM248" s="391">
        <f t="shared" si="104"/>
        <v>0</v>
      </c>
      <c r="AN248" s="391">
        <f t="shared" si="105"/>
        <v>0</v>
      </c>
      <c r="AO248" s="403">
        <f t="shared" si="106"/>
        <v>0</v>
      </c>
      <c r="AP248" s="405"/>
      <c r="AQ248" s="390" t="e">
        <f t="shared" si="107"/>
        <v>#N/A</v>
      </c>
      <c r="AR248" s="408">
        <f t="shared" si="108"/>
        <v>0</v>
      </c>
      <c r="AS248" s="409" t="str">
        <f t="shared" si="93"/>
        <v/>
      </c>
      <c r="AT248" s="416"/>
    </row>
    <row r="249" spans="1:46" ht="15" x14ac:dyDescent="0.25">
      <c r="A249" s="592">
        <v>246</v>
      </c>
      <c r="B249" s="604"/>
      <c r="C249" s="302"/>
      <c r="D249" s="304"/>
      <c r="E249" s="306"/>
      <c r="F249" s="698"/>
      <c r="G249" s="304"/>
      <c r="H249" s="304"/>
      <c r="I249" s="304"/>
      <c r="J249" s="304"/>
      <c r="K249" s="307"/>
      <c r="L249" s="590" t="str">
        <f t="shared" si="92"/>
        <v/>
      </c>
      <c r="M249" s="416"/>
      <c r="N249" s="405"/>
      <c r="O249" s="468" t="str">
        <f t="shared" si="109"/>
        <v xml:space="preserve"> </v>
      </c>
      <c r="P249" s="468" t="str">
        <f t="shared" si="110"/>
        <v xml:space="preserve"> </v>
      </c>
      <c r="Q249" s="468" t="str">
        <f t="shared" si="111"/>
        <v xml:space="preserve"> </v>
      </c>
      <c r="R249" s="468" t="str">
        <f t="shared" si="112"/>
        <v xml:space="preserve"> </v>
      </c>
      <c r="S249" s="468" t="str">
        <f t="shared" si="113"/>
        <v xml:space="preserve"> </v>
      </c>
      <c r="T249" s="468" t="str">
        <f t="shared" si="114"/>
        <v xml:space="preserve"> </v>
      </c>
      <c r="U249" s="405"/>
      <c r="V249" s="405"/>
      <c r="W249" s="405"/>
      <c r="X249" s="405"/>
      <c r="Y249" s="405"/>
      <c r="Z249" s="405"/>
      <c r="AA249" s="405"/>
      <c r="AB249" s="405"/>
      <c r="AC249" s="389" t="e">
        <f t="shared" si="94"/>
        <v>#N/A</v>
      </c>
      <c r="AD249" s="390">
        <f t="shared" si="95"/>
        <v>0</v>
      </c>
      <c r="AE249" s="390">
        <f t="shared" si="96"/>
        <v>0</v>
      </c>
      <c r="AF249" s="391">
        <f t="shared" si="97"/>
        <v>0</v>
      </c>
      <c r="AG249" s="392">
        <f t="shared" si="98"/>
        <v>0</v>
      </c>
      <c r="AH249" s="392">
        <f t="shared" si="99"/>
        <v>0</v>
      </c>
      <c r="AI249" s="392">
        <f t="shared" si="100"/>
        <v>0</v>
      </c>
      <c r="AJ249" s="393">
        <f t="shared" si="101"/>
        <v>0</v>
      </c>
      <c r="AK249" s="391">
        <f t="shared" si="102"/>
        <v>0</v>
      </c>
      <c r="AL249" s="391">
        <f t="shared" si="103"/>
        <v>0</v>
      </c>
      <c r="AM249" s="391">
        <f t="shared" si="104"/>
        <v>0</v>
      </c>
      <c r="AN249" s="391">
        <f t="shared" si="105"/>
        <v>0</v>
      </c>
      <c r="AO249" s="403">
        <f t="shared" si="106"/>
        <v>0</v>
      </c>
      <c r="AP249" s="405"/>
      <c r="AQ249" s="390" t="e">
        <f t="shared" si="107"/>
        <v>#N/A</v>
      </c>
      <c r="AR249" s="408">
        <f t="shared" si="108"/>
        <v>0</v>
      </c>
      <c r="AS249" s="409" t="str">
        <f t="shared" si="93"/>
        <v/>
      </c>
      <c r="AT249" s="416"/>
    </row>
    <row r="250" spans="1:46" ht="15" x14ac:dyDescent="0.25">
      <c r="A250" s="592">
        <v>247</v>
      </c>
      <c r="B250" s="604"/>
      <c r="C250" s="302"/>
      <c r="D250" s="304"/>
      <c r="E250" s="306"/>
      <c r="F250" s="698"/>
      <c r="G250" s="304"/>
      <c r="H250" s="304"/>
      <c r="I250" s="304"/>
      <c r="J250" s="304"/>
      <c r="K250" s="307"/>
      <c r="L250" s="590" t="str">
        <f t="shared" si="92"/>
        <v/>
      </c>
      <c r="M250" s="416"/>
      <c r="N250" s="405"/>
      <c r="O250" s="468" t="str">
        <f t="shared" si="109"/>
        <v xml:space="preserve"> </v>
      </c>
      <c r="P250" s="468" t="str">
        <f t="shared" si="110"/>
        <v xml:space="preserve"> </v>
      </c>
      <c r="Q250" s="468" t="str">
        <f t="shared" si="111"/>
        <v xml:space="preserve"> </v>
      </c>
      <c r="R250" s="468" t="str">
        <f t="shared" si="112"/>
        <v xml:space="preserve"> </v>
      </c>
      <c r="S250" s="468" t="str">
        <f t="shared" si="113"/>
        <v xml:space="preserve"> </v>
      </c>
      <c r="T250" s="468" t="str">
        <f t="shared" si="114"/>
        <v xml:space="preserve"> </v>
      </c>
      <c r="U250" s="405"/>
      <c r="V250" s="405"/>
      <c r="W250" s="405"/>
      <c r="X250" s="405"/>
      <c r="Y250" s="405"/>
      <c r="Z250" s="405"/>
      <c r="AA250" s="405"/>
      <c r="AB250" s="405"/>
      <c r="AC250" s="389" t="e">
        <f t="shared" si="94"/>
        <v>#N/A</v>
      </c>
      <c r="AD250" s="390">
        <f t="shared" si="95"/>
        <v>0</v>
      </c>
      <c r="AE250" s="390">
        <f t="shared" si="96"/>
        <v>0</v>
      </c>
      <c r="AF250" s="391">
        <f t="shared" si="97"/>
        <v>0</v>
      </c>
      <c r="AG250" s="392">
        <f t="shared" si="98"/>
        <v>0</v>
      </c>
      <c r="AH250" s="392">
        <f t="shared" si="99"/>
        <v>0</v>
      </c>
      <c r="AI250" s="392">
        <f t="shared" si="100"/>
        <v>0</v>
      </c>
      <c r="AJ250" s="393">
        <f t="shared" si="101"/>
        <v>0</v>
      </c>
      <c r="AK250" s="391">
        <f t="shared" si="102"/>
        <v>0</v>
      </c>
      <c r="AL250" s="391">
        <f t="shared" si="103"/>
        <v>0</v>
      </c>
      <c r="AM250" s="391">
        <f t="shared" si="104"/>
        <v>0</v>
      </c>
      <c r="AN250" s="391">
        <f t="shared" si="105"/>
        <v>0</v>
      </c>
      <c r="AO250" s="403">
        <f t="shared" si="106"/>
        <v>0</v>
      </c>
      <c r="AP250" s="405"/>
      <c r="AQ250" s="390" t="e">
        <f t="shared" si="107"/>
        <v>#N/A</v>
      </c>
      <c r="AR250" s="408">
        <f t="shared" si="108"/>
        <v>0</v>
      </c>
      <c r="AS250" s="409" t="str">
        <f t="shared" si="93"/>
        <v/>
      </c>
      <c r="AT250" s="416"/>
    </row>
    <row r="251" spans="1:46" ht="15" x14ac:dyDescent="0.25">
      <c r="A251" s="592">
        <v>248</v>
      </c>
      <c r="B251" s="604"/>
      <c r="C251" s="302"/>
      <c r="D251" s="304"/>
      <c r="E251" s="306"/>
      <c r="F251" s="698"/>
      <c r="G251" s="304"/>
      <c r="H251" s="304"/>
      <c r="I251" s="304"/>
      <c r="J251" s="304"/>
      <c r="K251" s="307"/>
      <c r="L251" s="590" t="str">
        <f t="shared" si="92"/>
        <v/>
      </c>
      <c r="M251" s="416"/>
      <c r="N251" s="405"/>
      <c r="O251" s="468" t="str">
        <f t="shared" si="109"/>
        <v xml:space="preserve"> </v>
      </c>
      <c r="P251" s="468" t="str">
        <f t="shared" si="110"/>
        <v xml:space="preserve"> </v>
      </c>
      <c r="Q251" s="468" t="str">
        <f t="shared" si="111"/>
        <v xml:space="preserve"> </v>
      </c>
      <c r="R251" s="468" t="str">
        <f t="shared" si="112"/>
        <v xml:space="preserve"> </v>
      </c>
      <c r="S251" s="468" t="str">
        <f t="shared" si="113"/>
        <v xml:space="preserve"> </v>
      </c>
      <c r="T251" s="468" t="str">
        <f t="shared" si="114"/>
        <v xml:space="preserve"> </v>
      </c>
      <c r="U251" s="405"/>
      <c r="V251" s="405"/>
      <c r="W251" s="405"/>
      <c r="X251" s="405"/>
      <c r="Y251" s="405"/>
      <c r="Z251" s="405"/>
      <c r="AA251" s="405"/>
      <c r="AB251" s="405"/>
      <c r="AC251" s="389" t="e">
        <f t="shared" si="94"/>
        <v>#N/A</v>
      </c>
      <c r="AD251" s="390">
        <f t="shared" si="95"/>
        <v>0</v>
      </c>
      <c r="AE251" s="390">
        <f t="shared" si="96"/>
        <v>0</v>
      </c>
      <c r="AF251" s="391">
        <f t="shared" si="97"/>
        <v>0</v>
      </c>
      <c r="AG251" s="392">
        <f t="shared" si="98"/>
        <v>0</v>
      </c>
      <c r="AH251" s="392">
        <f t="shared" si="99"/>
        <v>0</v>
      </c>
      <c r="AI251" s="392">
        <f t="shared" si="100"/>
        <v>0</v>
      </c>
      <c r="AJ251" s="393">
        <f t="shared" si="101"/>
        <v>0</v>
      </c>
      <c r="AK251" s="391">
        <f t="shared" si="102"/>
        <v>0</v>
      </c>
      <c r="AL251" s="391">
        <f t="shared" si="103"/>
        <v>0</v>
      </c>
      <c r="AM251" s="391">
        <f t="shared" si="104"/>
        <v>0</v>
      </c>
      <c r="AN251" s="391">
        <f t="shared" si="105"/>
        <v>0</v>
      </c>
      <c r="AO251" s="403">
        <f t="shared" si="106"/>
        <v>0</v>
      </c>
      <c r="AP251" s="405"/>
      <c r="AQ251" s="390" t="e">
        <f t="shared" si="107"/>
        <v>#N/A</v>
      </c>
      <c r="AR251" s="408">
        <f t="shared" si="108"/>
        <v>0</v>
      </c>
      <c r="AS251" s="409" t="str">
        <f t="shared" si="93"/>
        <v/>
      </c>
      <c r="AT251" s="416"/>
    </row>
    <row r="252" spans="1:46" ht="15" x14ac:dyDescent="0.25">
      <c r="A252" s="592">
        <v>249</v>
      </c>
      <c r="B252" s="604"/>
      <c r="C252" s="302"/>
      <c r="D252" s="304"/>
      <c r="E252" s="306"/>
      <c r="F252" s="698"/>
      <c r="G252" s="304"/>
      <c r="H252" s="304"/>
      <c r="I252" s="304"/>
      <c r="J252" s="304"/>
      <c r="K252" s="307"/>
      <c r="L252" s="590" t="str">
        <f t="shared" si="92"/>
        <v/>
      </c>
      <c r="M252" s="416"/>
      <c r="N252" s="405"/>
      <c r="O252" s="468" t="str">
        <f t="shared" si="109"/>
        <v xml:space="preserve"> </v>
      </c>
      <c r="P252" s="468" t="str">
        <f t="shared" si="110"/>
        <v xml:space="preserve"> </v>
      </c>
      <c r="Q252" s="468" t="str">
        <f t="shared" si="111"/>
        <v xml:space="preserve"> </v>
      </c>
      <c r="R252" s="468" t="str">
        <f t="shared" si="112"/>
        <v xml:space="preserve"> </v>
      </c>
      <c r="S252" s="468" t="str">
        <f t="shared" si="113"/>
        <v xml:space="preserve"> </v>
      </c>
      <c r="T252" s="468" t="str">
        <f t="shared" si="114"/>
        <v xml:space="preserve"> </v>
      </c>
      <c r="U252" s="405"/>
      <c r="V252" s="405"/>
      <c r="W252" s="405"/>
      <c r="X252" s="405"/>
      <c r="Y252" s="405"/>
      <c r="Z252" s="405"/>
      <c r="AA252" s="405"/>
      <c r="AB252" s="405"/>
      <c r="AC252" s="389" t="e">
        <f t="shared" si="94"/>
        <v>#N/A</v>
      </c>
      <c r="AD252" s="390">
        <f t="shared" si="95"/>
        <v>0</v>
      </c>
      <c r="AE252" s="390">
        <f t="shared" si="96"/>
        <v>0</v>
      </c>
      <c r="AF252" s="391">
        <f t="shared" si="97"/>
        <v>0</v>
      </c>
      <c r="AG252" s="392">
        <f t="shared" si="98"/>
        <v>0</v>
      </c>
      <c r="AH252" s="392">
        <f t="shared" si="99"/>
        <v>0</v>
      </c>
      <c r="AI252" s="392">
        <f t="shared" si="100"/>
        <v>0</v>
      </c>
      <c r="AJ252" s="393">
        <f t="shared" si="101"/>
        <v>0</v>
      </c>
      <c r="AK252" s="391">
        <f t="shared" si="102"/>
        <v>0</v>
      </c>
      <c r="AL252" s="391">
        <f t="shared" si="103"/>
        <v>0</v>
      </c>
      <c r="AM252" s="391">
        <f t="shared" si="104"/>
        <v>0</v>
      </c>
      <c r="AN252" s="391">
        <f t="shared" si="105"/>
        <v>0</v>
      </c>
      <c r="AO252" s="403">
        <f t="shared" si="106"/>
        <v>0</v>
      </c>
      <c r="AP252" s="405"/>
      <c r="AQ252" s="390" t="e">
        <f t="shared" si="107"/>
        <v>#N/A</v>
      </c>
      <c r="AR252" s="408">
        <f t="shared" si="108"/>
        <v>0</v>
      </c>
      <c r="AS252" s="409" t="str">
        <f t="shared" si="93"/>
        <v/>
      </c>
      <c r="AT252" s="416"/>
    </row>
    <row r="253" spans="1:46" ht="15" x14ac:dyDescent="0.25">
      <c r="A253" s="592">
        <v>250</v>
      </c>
      <c r="B253" s="604"/>
      <c r="C253" s="302"/>
      <c r="D253" s="304"/>
      <c r="E253" s="306"/>
      <c r="F253" s="698"/>
      <c r="G253" s="304"/>
      <c r="H253" s="304"/>
      <c r="I253" s="304"/>
      <c r="J253" s="304"/>
      <c r="K253" s="307"/>
      <c r="L253" s="590" t="str">
        <f t="shared" si="92"/>
        <v/>
      </c>
      <c r="M253" s="416"/>
      <c r="N253" s="405"/>
      <c r="O253" s="468" t="str">
        <f t="shared" si="109"/>
        <v xml:space="preserve"> </v>
      </c>
      <c r="P253" s="468" t="str">
        <f t="shared" si="110"/>
        <v xml:space="preserve"> </v>
      </c>
      <c r="Q253" s="468" t="str">
        <f t="shared" si="111"/>
        <v xml:space="preserve"> </v>
      </c>
      <c r="R253" s="468" t="str">
        <f t="shared" si="112"/>
        <v xml:space="preserve"> </v>
      </c>
      <c r="S253" s="468" t="str">
        <f t="shared" si="113"/>
        <v xml:space="preserve"> </v>
      </c>
      <c r="T253" s="468" t="str">
        <f t="shared" si="114"/>
        <v xml:space="preserve"> </v>
      </c>
      <c r="U253" s="405"/>
      <c r="V253" s="405"/>
      <c r="W253" s="405"/>
      <c r="X253" s="405"/>
      <c r="Y253" s="405"/>
      <c r="Z253" s="405"/>
      <c r="AA253" s="405"/>
      <c r="AB253" s="405"/>
      <c r="AC253" s="389" t="e">
        <f t="shared" si="94"/>
        <v>#N/A</v>
      </c>
      <c r="AD253" s="390">
        <f t="shared" si="95"/>
        <v>0</v>
      </c>
      <c r="AE253" s="390">
        <f t="shared" si="96"/>
        <v>0</v>
      </c>
      <c r="AF253" s="391">
        <f t="shared" si="97"/>
        <v>0</v>
      </c>
      <c r="AG253" s="392">
        <f t="shared" si="98"/>
        <v>0</v>
      </c>
      <c r="AH253" s="392">
        <f t="shared" si="99"/>
        <v>0</v>
      </c>
      <c r="AI253" s="392">
        <f t="shared" si="100"/>
        <v>0</v>
      </c>
      <c r="AJ253" s="393">
        <f t="shared" si="101"/>
        <v>0</v>
      </c>
      <c r="AK253" s="391">
        <f t="shared" si="102"/>
        <v>0</v>
      </c>
      <c r="AL253" s="391">
        <f t="shared" si="103"/>
        <v>0</v>
      </c>
      <c r="AM253" s="391">
        <f t="shared" si="104"/>
        <v>0</v>
      </c>
      <c r="AN253" s="391">
        <f t="shared" si="105"/>
        <v>0</v>
      </c>
      <c r="AO253" s="403">
        <f t="shared" si="106"/>
        <v>0</v>
      </c>
      <c r="AP253" s="405"/>
      <c r="AQ253" s="390" t="e">
        <f t="shared" si="107"/>
        <v>#N/A</v>
      </c>
      <c r="AR253" s="408">
        <f t="shared" si="108"/>
        <v>0</v>
      </c>
      <c r="AS253" s="409" t="str">
        <f t="shared" si="93"/>
        <v/>
      </c>
      <c r="AT253" s="416"/>
    </row>
    <row r="254" spans="1:46" x14ac:dyDescent="0.2">
      <c r="C254" s="416"/>
      <c r="D254" s="416"/>
      <c r="E254" s="416"/>
      <c r="F254" s="416"/>
      <c r="G254" s="416"/>
      <c r="H254" s="416"/>
      <c r="I254" s="416"/>
      <c r="J254" s="416"/>
      <c r="K254" s="416"/>
      <c r="M254" s="416"/>
      <c r="N254" s="405"/>
      <c r="O254" s="468" t="str">
        <f t="shared" si="109"/>
        <v xml:space="preserve"> </v>
      </c>
      <c r="P254" s="468" t="str">
        <f t="shared" si="110"/>
        <v xml:space="preserve"> </v>
      </c>
      <c r="Q254" s="468" t="str">
        <f t="shared" si="111"/>
        <v xml:space="preserve"> </v>
      </c>
      <c r="R254" s="468" t="str">
        <f t="shared" si="112"/>
        <v xml:space="preserve"> </v>
      </c>
      <c r="S254" s="468" t="str">
        <f t="shared" si="113"/>
        <v xml:space="preserve"> </v>
      </c>
      <c r="T254" s="468" t="str">
        <f t="shared" si="114"/>
        <v xml:space="preserve"> </v>
      </c>
      <c r="U254" s="405"/>
      <c r="V254" s="405"/>
      <c r="W254" s="405"/>
      <c r="X254" s="405"/>
      <c r="Y254" s="405"/>
      <c r="Z254" s="405"/>
      <c r="AA254" s="405"/>
      <c r="AB254" s="405"/>
      <c r="AC254" s="416"/>
      <c r="AD254" s="416"/>
      <c r="AE254" s="416"/>
      <c r="AF254" s="416"/>
      <c r="AG254" s="416"/>
      <c r="AH254" s="416"/>
      <c r="AI254" s="416"/>
      <c r="AJ254" s="416"/>
      <c r="AK254" s="416"/>
      <c r="AL254" s="416"/>
      <c r="AM254" s="416"/>
      <c r="AN254" s="416"/>
      <c r="AO254" s="416"/>
      <c r="AP254" s="416"/>
      <c r="AQ254" s="416"/>
      <c r="AR254" s="416"/>
      <c r="AS254" s="409" t="str">
        <f>IFERROR(IF(AR253 &gt; AQ253, "No", IF(AR253 &lt; AQ253, "Yes", IF(AR253 = AQ253, "Yes", ""))), "")</f>
        <v/>
      </c>
      <c r="AT254" s="416"/>
    </row>
    <row r="255" spans="1:46" x14ac:dyDescent="0.2">
      <c r="C255" s="416"/>
      <c r="D255" s="416"/>
      <c r="E255" s="416"/>
      <c r="F255" s="416"/>
      <c r="G255" s="416"/>
      <c r="H255" s="416"/>
      <c r="I255" s="416"/>
      <c r="J255" s="416"/>
      <c r="K255" s="416"/>
      <c r="M255" s="416"/>
      <c r="N255" s="416"/>
      <c r="O255" s="468" t="str">
        <f t="shared" si="109"/>
        <v xml:space="preserve"> </v>
      </c>
      <c r="P255" s="468" t="str">
        <f t="shared" si="110"/>
        <v xml:space="preserve"> </v>
      </c>
      <c r="Q255" s="468" t="str">
        <f t="shared" si="111"/>
        <v xml:space="preserve"> </v>
      </c>
      <c r="R255" s="468" t="str">
        <f t="shared" si="112"/>
        <v xml:space="preserve"> </v>
      </c>
      <c r="S255" s="468" t="str">
        <f t="shared" si="113"/>
        <v xml:space="preserve"> </v>
      </c>
      <c r="T255" s="468" t="str">
        <f t="shared" si="114"/>
        <v xml:space="preserve"> </v>
      </c>
      <c r="U255" s="405"/>
      <c r="V255" s="405"/>
      <c r="W255" s="405"/>
      <c r="X255" s="405"/>
      <c r="Y255" s="405"/>
      <c r="Z255" s="405"/>
      <c r="AA255" s="405"/>
      <c r="AB255" s="416"/>
      <c r="AC255" s="416"/>
      <c r="AD255" s="416"/>
      <c r="AE255" s="416"/>
      <c r="AF255" s="416"/>
      <c r="AG255" s="416"/>
      <c r="AH255" s="416"/>
      <c r="AI255" s="416"/>
      <c r="AJ255" s="416"/>
      <c r="AK255" s="416"/>
      <c r="AL255" s="416"/>
      <c r="AM255" s="416"/>
      <c r="AN255" s="416"/>
      <c r="AO255" s="416"/>
      <c r="AP255" s="416"/>
      <c r="AQ255" s="416"/>
      <c r="AR255" s="416"/>
      <c r="AS255" s="416"/>
      <c r="AT255" s="416"/>
    </row>
    <row r="256" spans="1:46" x14ac:dyDescent="0.2">
      <c r="C256" s="416"/>
      <c r="D256" s="416"/>
      <c r="E256" s="416"/>
      <c r="F256" s="416"/>
      <c r="G256" s="416"/>
      <c r="H256" s="416"/>
      <c r="I256" s="416"/>
      <c r="J256" s="416"/>
      <c r="K256" s="416"/>
      <c r="M256" s="416"/>
      <c r="N256" s="416"/>
      <c r="O256" s="468" t="str">
        <f t="shared" si="109"/>
        <v xml:space="preserve"> </v>
      </c>
      <c r="P256" s="468" t="str">
        <f t="shared" si="110"/>
        <v xml:space="preserve"> </v>
      </c>
      <c r="Q256" s="468" t="str">
        <f t="shared" si="111"/>
        <v xml:space="preserve"> </v>
      </c>
      <c r="R256" s="468" t="str">
        <f t="shared" si="112"/>
        <v xml:space="preserve"> </v>
      </c>
      <c r="S256" s="468" t="str">
        <f t="shared" si="113"/>
        <v xml:space="preserve"> </v>
      </c>
      <c r="T256" s="468" t="str">
        <f t="shared" si="114"/>
        <v xml:space="preserve"> </v>
      </c>
      <c r="U256" s="416"/>
      <c r="V256" s="416"/>
      <c r="W256" s="416"/>
      <c r="X256" s="416"/>
      <c r="Y256" s="416"/>
      <c r="Z256" s="416"/>
      <c r="AA256" s="416"/>
      <c r="AB256" s="416"/>
      <c r="AC256" s="416"/>
      <c r="AD256" s="416"/>
      <c r="AE256" s="416"/>
      <c r="AF256" s="416"/>
      <c r="AG256" s="416"/>
      <c r="AH256" s="416"/>
      <c r="AI256" s="416"/>
      <c r="AJ256" s="416"/>
      <c r="AK256" s="416"/>
      <c r="AL256" s="416"/>
      <c r="AM256" s="416"/>
      <c r="AN256" s="416"/>
      <c r="AO256" s="416"/>
      <c r="AP256" s="416"/>
      <c r="AQ256" s="416"/>
      <c r="AR256" s="416"/>
      <c r="AS256" s="416"/>
      <c r="AT256" s="416"/>
    </row>
    <row r="257" spans="3:46" x14ac:dyDescent="0.2">
      <c r="C257" s="416"/>
      <c r="D257" s="416"/>
      <c r="E257" s="416"/>
      <c r="F257" s="416"/>
      <c r="G257" s="416"/>
      <c r="H257" s="416"/>
      <c r="I257" s="416"/>
      <c r="J257" s="416"/>
      <c r="K257" s="416"/>
      <c r="M257" s="416"/>
      <c r="N257" s="416"/>
      <c r="O257" s="468" t="str">
        <f t="shared" si="109"/>
        <v xml:space="preserve"> </v>
      </c>
      <c r="P257" s="468" t="str">
        <f t="shared" si="110"/>
        <v xml:space="preserve"> </v>
      </c>
      <c r="Q257" s="468" t="str">
        <f t="shared" si="111"/>
        <v xml:space="preserve"> </v>
      </c>
      <c r="R257" s="468" t="str">
        <f t="shared" si="112"/>
        <v xml:space="preserve"> </v>
      </c>
      <c r="S257" s="468" t="str">
        <f t="shared" si="113"/>
        <v xml:space="preserve"> </v>
      </c>
      <c r="T257" s="468" t="str">
        <f t="shared" si="114"/>
        <v xml:space="preserve"> </v>
      </c>
      <c r="U257" s="416"/>
      <c r="V257" s="416"/>
      <c r="W257" s="416"/>
      <c r="X257" s="416"/>
      <c r="Y257" s="416"/>
      <c r="Z257" s="416"/>
      <c r="AA257" s="416"/>
      <c r="AB257" s="416"/>
      <c r="AC257" s="416"/>
      <c r="AD257" s="416"/>
      <c r="AE257" s="416"/>
      <c r="AF257" s="416"/>
      <c r="AG257" s="416"/>
      <c r="AH257" s="416"/>
      <c r="AI257" s="416"/>
      <c r="AJ257" s="416"/>
      <c r="AK257" s="416"/>
      <c r="AL257" s="416"/>
      <c r="AM257" s="416"/>
      <c r="AN257" s="416"/>
      <c r="AO257" s="416"/>
      <c r="AP257" s="416"/>
      <c r="AQ257" s="416"/>
      <c r="AR257" s="416"/>
      <c r="AS257" s="416"/>
      <c r="AT257" s="416"/>
    </row>
    <row r="258" spans="3:46" x14ac:dyDescent="0.2">
      <c r="C258" s="416"/>
      <c r="D258" s="416"/>
      <c r="E258" s="416"/>
      <c r="F258" s="416"/>
      <c r="G258" s="416"/>
      <c r="H258" s="416"/>
      <c r="I258" s="416"/>
      <c r="J258" s="416"/>
      <c r="K258" s="416"/>
      <c r="M258" s="416"/>
      <c r="N258" s="416"/>
      <c r="O258" s="468" t="str">
        <f t="shared" si="109"/>
        <v xml:space="preserve"> </v>
      </c>
      <c r="P258" s="468" t="str">
        <f t="shared" si="110"/>
        <v xml:space="preserve"> </v>
      </c>
      <c r="Q258" s="468" t="str">
        <f t="shared" si="111"/>
        <v xml:space="preserve"> </v>
      </c>
      <c r="R258" s="468" t="str">
        <f t="shared" si="112"/>
        <v xml:space="preserve"> </v>
      </c>
      <c r="S258" s="468" t="str">
        <f t="shared" si="113"/>
        <v xml:space="preserve"> </v>
      </c>
      <c r="T258" s="468" t="str">
        <f t="shared" si="114"/>
        <v xml:space="preserve"> </v>
      </c>
      <c r="U258" s="416"/>
      <c r="V258" s="416"/>
      <c r="W258" s="416"/>
      <c r="X258" s="416"/>
      <c r="Y258" s="416"/>
      <c r="Z258" s="416"/>
      <c r="AA258" s="416"/>
      <c r="AB258" s="416"/>
      <c r="AC258" s="416"/>
      <c r="AD258" s="416"/>
      <c r="AE258" s="416"/>
      <c r="AF258" s="416"/>
      <c r="AG258" s="416"/>
      <c r="AH258" s="416"/>
      <c r="AI258" s="416"/>
      <c r="AJ258" s="416"/>
      <c r="AK258" s="416"/>
      <c r="AL258" s="416"/>
      <c r="AM258" s="416"/>
      <c r="AN258" s="416"/>
      <c r="AO258" s="416"/>
      <c r="AP258" s="416"/>
      <c r="AQ258" s="416"/>
      <c r="AR258" s="416"/>
      <c r="AS258" s="416"/>
      <c r="AT258" s="416"/>
    </row>
    <row r="259" spans="3:46" x14ac:dyDescent="0.2">
      <c r="C259" s="416"/>
      <c r="D259" s="416"/>
      <c r="E259" s="416"/>
      <c r="F259" s="416"/>
      <c r="G259" s="416"/>
      <c r="H259" s="416"/>
      <c r="I259" s="416"/>
      <c r="J259" s="416"/>
      <c r="K259" s="416"/>
      <c r="M259" s="416"/>
      <c r="N259" s="416"/>
      <c r="O259" s="468" t="str">
        <f t="shared" si="109"/>
        <v xml:space="preserve"> </v>
      </c>
      <c r="P259" s="468" t="str">
        <f t="shared" si="110"/>
        <v xml:space="preserve"> </v>
      </c>
      <c r="Q259" s="468" t="str">
        <f t="shared" si="111"/>
        <v xml:space="preserve"> </v>
      </c>
      <c r="R259" s="468" t="str">
        <f t="shared" si="112"/>
        <v xml:space="preserve"> </v>
      </c>
      <c r="S259" s="468" t="str">
        <f t="shared" si="113"/>
        <v xml:space="preserve"> </v>
      </c>
      <c r="T259" s="468" t="str">
        <f t="shared" si="114"/>
        <v xml:space="preserve"> </v>
      </c>
      <c r="U259" s="416"/>
      <c r="V259" s="416"/>
      <c r="W259" s="416"/>
      <c r="X259" s="416"/>
      <c r="Y259" s="416"/>
      <c r="Z259" s="416"/>
      <c r="AA259" s="416"/>
      <c r="AB259" s="416"/>
      <c r="AC259" s="416"/>
      <c r="AD259" s="416"/>
      <c r="AE259" s="416"/>
      <c r="AF259" s="416"/>
      <c r="AG259" s="416"/>
      <c r="AH259" s="416"/>
      <c r="AI259" s="416"/>
      <c r="AJ259" s="416"/>
      <c r="AK259" s="416"/>
      <c r="AL259" s="416"/>
      <c r="AM259" s="416"/>
      <c r="AN259" s="416"/>
      <c r="AO259" s="416"/>
      <c r="AP259" s="416"/>
      <c r="AQ259" s="416"/>
      <c r="AR259" s="416"/>
      <c r="AS259" s="416"/>
      <c r="AT259" s="416"/>
    </row>
    <row r="260" spans="3:46" x14ac:dyDescent="0.2">
      <c r="C260" s="416"/>
      <c r="D260" s="416"/>
      <c r="E260" s="416"/>
      <c r="F260" s="416"/>
      <c r="G260" s="416"/>
      <c r="H260" s="416"/>
      <c r="I260" s="416"/>
      <c r="J260" s="416"/>
      <c r="K260" s="416"/>
      <c r="M260" s="416"/>
      <c r="N260" s="416"/>
      <c r="O260" s="468" t="str">
        <f t="shared" si="109"/>
        <v xml:space="preserve"> </v>
      </c>
      <c r="P260" s="468" t="str">
        <f t="shared" si="110"/>
        <v xml:space="preserve"> </v>
      </c>
      <c r="Q260" s="468" t="str">
        <f t="shared" si="111"/>
        <v xml:space="preserve"> </v>
      </c>
      <c r="R260" s="468" t="str">
        <f t="shared" si="112"/>
        <v xml:space="preserve"> </v>
      </c>
      <c r="S260" s="468" t="str">
        <f t="shared" si="113"/>
        <v xml:space="preserve"> </v>
      </c>
      <c r="T260" s="468" t="str">
        <f t="shared" si="114"/>
        <v xml:space="preserve"> </v>
      </c>
      <c r="U260" s="416"/>
      <c r="V260" s="416"/>
      <c r="W260" s="416"/>
      <c r="X260" s="416"/>
      <c r="Y260" s="416"/>
      <c r="Z260" s="416"/>
      <c r="AA260" s="416"/>
      <c r="AB260" s="416"/>
      <c r="AC260" s="416"/>
      <c r="AD260" s="416"/>
      <c r="AE260" s="416"/>
      <c r="AF260" s="416"/>
      <c r="AG260" s="416"/>
      <c r="AH260" s="416"/>
      <c r="AI260" s="416"/>
      <c r="AJ260" s="416"/>
      <c r="AK260" s="416"/>
      <c r="AL260" s="416"/>
      <c r="AM260" s="416"/>
      <c r="AN260" s="416"/>
      <c r="AO260" s="416"/>
      <c r="AP260" s="416"/>
      <c r="AQ260" s="416"/>
      <c r="AR260" s="416"/>
      <c r="AS260" s="416"/>
      <c r="AT260" s="416"/>
    </row>
    <row r="261" spans="3:46" x14ac:dyDescent="0.2">
      <c r="C261" s="416"/>
      <c r="D261" s="416"/>
      <c r="E261" s="416"/>
      <c r="F261" s="416"/>
      <c r="G261" s="416"/>
      <c r="H261" s="416"/>
      <c r="I261" s="416"/>
      <c r="J261" s="416"/>
      <c r="K261" s="416"/>
      <c r="M261" s="416"/>
      <c r="N261" s="416"/>
      <c r="O261" s="468" t="str">
        <f t="shared" si="109"/>
        <v xml:space="preserve"> </v>
      </c>
      <c r="P261" s="468" t="str">
        <f t="shared" si="110"/>
        <v xml:space="preserve"> </v>
      </c>
      <c r="Q261" s="468" t="str">
        <f t="shared" si="111"/>
        <v xml:space="preserve"> </v>
      </c>
      <c r="R261" s="468" t="str">
        <f t="shared" si="112"/>
        <v xml:space="preserve"> </v>
      </c>
      <c r="S261" s="468" t="str">
        <f t="shared" si="113"/>
        <v xml:space="preserve"> </v>
      </c>
      <c r="T261" s="468" t="str">
        <f t="shared" si="114"/>
        <v xml:space="preserve"> </v>
      </c>
      <c r="U261" s="416"/>
      <c r="V261" s="416"/>
      <c r="W261" s="416"/>
      <c r="X261" s="416"/>
      <c r="Y261" s="416"/>
      <c r="Z261" s="416"/>
      <c r="AA261" s="416"/>
      <c r="AB261" s="416"/>
      <c r="AC261" s="416"/>
      <c r="AD261" s="416"/>
      <c r="AE261" s="416"/>
      <c r="AF261" s="416"/>
      <c r="AG261" s="416"/>
      <c r="AH261" s="416"/>
      <c r="AI261" s="416"/>
      <c r="AJ261" s="416"/>
      <c r="AK261" s="416"/>
      <c r="AL261" s="416"/>
      <c r="AM261" s="416"/>
      <c r="AN261" s="416"/>
      <c r="AO261" s="416"/>
      <c r="AP261" s="416"/>
      <c r="AQ261" s="416"/>
      <c r="AR261" s="416"/>
      <c r="AS261" s="416"/>
      <c r="AT261" s="416"/>
    </row>
    <row r="262" spans="3:46" x14ac:dyDescent="0.2">
      <c r="C262" s="416"/>
      <c r="D262" s="416"/>
      <c r="E262" s="416"/>
      <c r="F262" s="416"/>
      <c r="G262" s="416"/>
      <c r="H262" s="416"/>
      <c r="I262" s="416"/>
      <c r="J262" s="416"/>
      <c r="K262" s="416"/>
      <c r="M262" s="416"/>
      <c r="N262" s="416"/>
      <c r="O262" s="468" t="str">
        <f t="shared" si="109"/>
        <v xml:space="preserve"> </v>
      </c>
      <c r="P262" s="468" t="str">
        <f t="shared" si="110"/>
        <v xml:space="preserve"> </v>
      </c>
      <c r="Q262" s="468" t="str">
        <f t="shared" si="111"/>
        <v xml:space="preserve"> </v>
      </c>
      <c r="R262" s="468" t="str">
        <f t="shared" si="112"/>
        <v xml:space="preserve"> </v>
      </c>
      <c r="S262" s="468" t="str">
        <f t="shared" si="113"/>
        <v xml:space="preserve"> </v>
      </c>
      <c r="T262" s="468" t="str">
        <f t="shared" si="114"/>
        <v xml:space="preserve"> </v>
      </c>
      <c r="U262" s="416"/>
      <c r="V262" s="416"/>
      <c r="W262" s="416"/>
      <c r="X262" s="416"/>
      <c r="Y262" s="416"/>
      <c r="Z262" s="416"/>
      <c r="AA262" s="416"/>
      <c r="AB262" s="416"/>
      <c r="AC262" s="416"/>
      <c r="AD262" s="416"/>
      <c r="AE262" s="416"/>
      <c r="AF262" s="416"/>
      <c r="AG262" s="416"/>
      <c r="AH262" s="416"/>
      <c r="AI262" s="416"/>
      <c r="AJ262" s="416"/>
      <c r="AK262" s="416"/>
      <c r="AL262" s="416"/>
      <c r="AM262" s="416"/>
      <c r="AN262" s="416"/>
      <c r="AO262" s="416"/>
      <c r="AP262" s="416"/>
      <c r="AQ262" s="416"/>
      <c r="AR262" s="416"/>
      <c r="AS262" s="416"/>
      <c r="AT262" s="416"/>
    </row>
    <row r="263" spans="3:46" x14ac:dyDescent="0.2">
      <c r="C263" s="416"/>
      <c r="D263" s="416"/>
      <c r="E263" s="416"/>
      <c r="F263" s="416"/>
      <c r="G263" s="416"/>
      <c r="H263" s="416"/>
      <c r="I263" s="416"/>
      <c r="J263" s="416"/>
      <c r="K263" s="416"/>
      <c r="M263" s="416"/>
      <c r="N263" s="416"/>
      <c r="O263" s="468" t="str">
        <f t="shared" si="109"/>
        <v xml:space="preserve"> </v>
      </c>
      <c r="P263" s="468" t="str">
        <f t="shared" si="110"/>
        <v xml:space="preserve"> </v>
      </c>
      <c r="Q263" s="468" t="str">
        <f t="shared" si="111"/>
        <v xml:space="preserve"> </v>
      </c>
      <c r="R263" s="468" t="str">
        <f t="shared" si="112"/>
        <v xml:space="preserve"> </v>
      </c>
      <c r="S263" s="468" t="str">
        <f t="shared" si="113"/>
        <v xml:space="preserve"> </v>
      </c>
      <c r="T263" s="468" t="str">
        <f t="shared" si="114"/>
        <v xml:space="preserve"> </v>
      </c>
      <c r="U263" s="416"/>
      <c r="V263" s="416"/>
      <c r="W263" s="416"/>
      <c r="X263" s="416"/>
      <c r="Y263" s="416"/>
      <c r="Z263" s="416"/>
      <c r="AA263" s="416"/>
      <c r="AB263" s="416"/>
      <c r="AC263" s="416"/>
      <c r="AD263" s="416"/>
      <c r="AE263" s="416"/>
      <c r="AF263" s="416"/>
      <c r="AG263" s="416"/>
      <c r="AH263" s="416"/>
      <c r="AI263" s="416"/>
      <c r="AJ263" s="416"/>
      <c r="AK263" s="416"/>
      <c r="AL263" s="416"/>
      <c r="AM263" s="416"/>
      <c r="AN263" s="416"/>
      <c r="AO263" s="416"/>
      <c r="AP263" s="416"/>
      <c r="AQ263" s="416"/>
      <c r="AR263" s="416"/>
      <c r="AS263" s="416"/>
      <c r="AT263" s="416"/>
    </row>
    <row r="264" spans="3:46" x14ac:dyDescent="0.2">
      <c r="C264" s="416"/>
      <c r="D264" s="416"/>
      <c r="E264" s="416"/>
      <c r="F264" s="416"/>
      <c r="G264" s="416"/>
      <c r="H264" s="416"/>
      <c r="I264" s="416"/>
      <c r="J264" s="416"/>
      <c r="K264" s="416"/>
      <c r="M264" s="416"/>
      <c r="N264" s="416"/>
      <c r="O264" s="468" t="str">
        <f t="shared" si="109"/>
        <v xml:space="preserve"> </v>
      </c>
      <c r="P264" s="468" t="str">
        <f t="shared" si="110"/>
        <v xml:space="preserve"> </v>
      </c>
      <c r="Q264" s="468" t="str">
        <f t="shared" si="111"/>
        <v xml:space="preserve"> </v>
      </c>
      <c r="R264" s="468" t="str">
        <f t="shared" si="112"/>
        <v xml:space="preserve"> </v>
      </c>
      <c r="S264" s="468" t="str">
        <f t="shared" si="113"/>
        <v xml:space="preserve"> </v>
      </c>
      <c r="T264" s="468" t="str">
        <f t="shared" si="114"/>
        <v xml:space="preserve"> </v>
      </c>
      <c r="U264" s="416"/>
      <c r="V264" s="416"/>
      <c r="W264" s="416"/>
      <c r="X264" s="416"/>
      <c r="Y264" s="416"/>
      <c r="Z264" s="416"/>
      <c r="AA264" s="416"/>
      <c r="AB264" s="416"/>
      <c r="AC264" s="416"/>
      <c r="AD264" s="416"/>
      <c r="AE264" s="416"/>
      <c r="AF264" s="416"/>
      <c r="AG264" s="416"/>
      <c r="AH264" s="416"/>
      <c r="AI264" s="416"/>
      <c r="AJ264" s="416"/>
      <c r="AK264" s="416"/>
      <c r="AL264" s="416"/>
      <c r="AM264" s="416"/>
      <c r="AN264" s="416"/>
      <c r="AO264" s="416"/>
      <c r="AP264" s="416"/>
      <c r="AQ264" s="416"/>
      <c r="AR264" s="416"/>
      <c r="AS264" s="416"/>
      <c r="AT264" s="416"/>
    </row>
    <row r="265" spans="3:46" x14ac:dyDescent="0.2">
      <c r="C265" s="416"/>
      <c r="D265" s="416"/>
      <c r="E265" s="416"/>
      <c r="F265" s="416"/>
      <c r="G265" s="416"/>
      <c r="H265" s="416"/>
      <c r="I265" s="416"/>
      <c r="J265" s="416"/>
      <c r="K265" s="416"/>
      <c r="M265" s="416"/>
      <c r="N265" s="416"/>
      <c r="O265" s="468" t="str">
        <f t="shared" si="109"/>
        <v xml:space="preserve"> </v>
      </c>
      <c r="P265" s="468" t="str">
        <f t="shared" si="110"/>
        <v xml:space="preserve"> </v>
      </c>
      <c r="Q265" s="468" t="str">
        <f t="shared" si="111"/>
        <v xml:space="preserve"> </v>
      </c>
      <c r="R265" s="468" t="str">
        <f t="shared" si="112"/>
        <v xml:space="preserve"> </v>
      </c>
      <c r="S265" s="468" t="str">
        <f t="shared" si="113"/>
        <v xml:space="preserve"> </v>
      </c>
      <c r="T265" s="468" t="str">
        <f t="shared" si="114"/>
        <v xml:space="preserve"> </v>
      </c>
      <c r="U265" s="416"/>
      <c r="V265" s="416"/>
      <c r="W265" s="416"/>
      <c r="X265" s="416"/>
      <c r="Y265" s="416"/>
      <c r="Z265" s="416"/>
      <c r="AA265" s="416"/>
      <c r="AB265" s="416"/>
      <c r="AC265" s="416"/>
      <c r="AD265" s="416"/>
      <c r="AE265" s="416"/>
      <c r="AF265" s="416"/>
      <c r="AG265" s="416"/>
      <c r="AH265" s="416"/>
      <c r="AI265" s="416"/>
      <c r="AJ265" s="416"/>
      <c r="AK265" s="416"/>
      <c r="AL265" s="416"/>
      <c r="AM265" s="416"/>
      <c r="AN265" s="416"/>
      <c r="AO265" s="416"/>
      <c r="AP265" s="416"/>
      <c r="AQ265" s="416"/>
      <c r="AR265" s="416"/>
      <c r="AS265" s="416"/>
      <c r="AT265" s="416"/>
    </row>
    <row r="266" spans="3:46" x14ac:dyDescent="0.2">
      <c r="C266" s="416"/>
      <c r="D266" s="416"/>
      <c r="E266" s="416"/>
      <c r="F266" s="416"/>
      <c r="G266" s="416"/>
      <c r="H266" s="416"/>
      <c r="I266" s="416"/>
      <c r="J266" s="416"/>
      <c r="K266" s="416"/>
      <c r="M266" s="416"/>
      <c r="N266" s="416"/>
      <c r="O266" s="468" t="str">
        <f t="shared" si="109"/>
        <v xml:space="preserve"> </v>
      </c>
      <c r="P266" s="468" t="str">
        <f t="shared" si="110"/>
        <v xml:space="preserve"> </v>
      </c>
      <c r="Q266" s="468" t="str">
        <f t="shared" si="111"/>
        <v xml:space="preserve"> </v>
      </c>
      <c r="R266" s="468" t="str">
        <f t="shared" si="112"/>
        <v xml:space="preserve"> </v>
      </c>
      <c r="S266" s="468" t="str">
        <f t="shared" si="113"/>
        <v xml:space="preserve"> </v>
      </c>
      <c r="T266" s="468" t="str">
        <f t="shared" si="114"/>
        <v xml:space="preserve"> </v>
      </c>
      <c r="U266" s="416"/>
      <c r="V266" s="416"/>
      <c r="W266" s="416"/>
      <c r="X266" s="416"/>
      <c r="Y266" s="416"/>
      <c r="Z266" s="416"/>
      <c r="AA266" s="416"/>
      <c r="AB266" s="416"/>
      <c r="AC266" s="416"/>
      <c r="AD266" s="416"/>
      <c r="AE266" s="416"/>
      <c r="AF266" s="416"/>
      <c r="AG266" s="416"/>
      <c r="AH266" s="416"/>
      <c r="AI266" s="416"/>
      <c r="AJ266" s="416"/>
      <c r="AK266" s="416"/>
      <c r="AL266" s="416"/>
      <c r="AM266" s="416"/>
      <c r="AN266" s="416"/>
      <c r="AO266" s="416"/>
      <c r="AP266" s="416"/>
      <c r="AQ266" s="416"/>
      <c r="AR266" s="416"/>
      <c r="AS266" s="416"/>
      <c r="AT266" s="416"/>
    </row>
    <row r="267" spans="3:46" x14ac:dyDescent="0.2">
      <c r="C267" s="416"/>
      <c r="D267" s="416"/>
      <c r="E267" s="416"/>
      <c r="F267" s="416"/>
      <c r="G267" s="416"/>
      <c r="H267" s="416"/>
      <c r="I267" s="416"/>
      <c r="J267" s="416"/>
      <c r="K267" s="416"/>
      <c r="M267" s="416"/>
      <c r="N267" s="416"/>
      <c r="O267" s="468" t="str">
        <f t="shared" si="109"/>
        <v xml:space="preserve"> </v>
      </c>
      <c r="P267" s="468" t="str">
        <f>IF(AND($F252="1",$L252="Yes"),$E252," ")</f>
        <v xml:space="preserve"> </v>
      </c>
      <c r="Q267" s="468" t="str">
        <f>IF(AND($F252="2",$L252="Yes"),$E252," ")</f>
        <v xml:space="preserve"> </v>
      </c>
      <c r="R267" s="468" t="str">
        <f>IF(AND($F252="3",$L252="Yes"),$E252," ")</f>
        <v xml:space="preserve"> </v>
      </c>
      <c r="S267" s="468" t="str">
        <f>IF(AND($F252="4",$L252="Yes"),$E252," ")</f>
        <v xml:space="preserve"> </v>
      </c>
      <c r="T267" s="468" t="str">
        <f>IF(AND($F252="5",$L252="Yes"),$E252," ")</f>
        <v xml:space="preserve"> </v>
      </c>
      <c r="U267" s="416"/>
      <c r="V267" s="416"/>
      <c r="W267" s="416"/>
      <c r="X267" s="416"/>
      <c r="Y267" s="416"/>
      <c r="Z267" s="416"/>
      <c r="AA267" s="416"/>
      <c r="AB267" s="416"/>
      <c r="AC267" s="416"/>
      <c r="AD267" s="416"/>
      <c r="AE267" s="416"/>
      <c r="AF267" s="416"/>
      <c r="AG267" s="416"/>
      <c r="AH267" s="416"/>
      <c r="AI267" s="416"/>
      <c r="AJ267" s="416"/>
      <c r="AK267" s="416"/>
      <c r="AL267" s="416"/>
      <c r="AM267" s="416"/>
      <c r="AN267" s="416"/>
      <c r="AO267" s="416"/>
      <c r="AP267" s="416"/>
      <c r="AQ267" s="416"/>
      <c r="AR267" s="416"/>
      <c r="AS267" s="416"/>
      <c r="AT267" s="416"/>
    </row>
    <row r="268" spans="3:46" x14ac:dyDescent="0.2">
      <c r="C268" s="416"/>
      <c r="D268" s="416"/>
      <c r="E268" s="416"/>
      <c r="F268" s="416"/>
      <c r="G268" s="416"/>
      <c r="H268" s="416"/>
      <c r="I268" s="416"/>
      <c r="J268" s="416"/>
      <c r="K268" s="416"/>
      <c r="M268" s="416"/>
      <c r="N268" s="416"/>
      <c r="O268" s="468" t="str">
        <f t="shared" si="109"/>
        <v xml:space="preserve"> </v>
      </c>
      <c r="P268" s="468" t="str">
        <f>IF(AND($F253="1",$L253="Yes"),$E253," ")</f>
        <v xml:space="preserve"> </v>
      </c>
      <c r="Q268" s="468" t="str">
        <f>IF(AND($F253="2",$L253="Yes"),$E253," ")</f>
        <v xml:space="preserve"> </v>
      </c>
      <c r="R268" s="468" t="str">
        <f>IF(AND($F253="3",$L253="Yes"),$E253," ")</f>
        <v xml:space="preserve"> </v>
      </c>
      <c r="S268" s="468" t="str">
        <f>IF(AND($F253="4",$L253="Yes"),$E253," ")</f>
        <v xml:space="preserve"> </v>
      </c>
      <c r="T268" s="468" t="str">
        <f>IF(AND($F253="5",$L253="Yes"),$E253," ")</f>
        <v xml:space="preserve"> </v>
      </c>
      <c r="U268" s="416"/>
      <c r="V268" s="416"/>
      <c r="W268" s="416"/>
      <c r="X268" s="416"/>
      <c r="Y268" s="416"/>
      <c r="Z268" s="416"/>
      <c r="AA268" s="416"/>
      <c r="AB268" s="416"/>
      <c r="AC268" s="416"/>
      <c r="AD268" s="416"/>
      <c r="AE268" s="416"/>
      <c r="AF268" s="416"/>
      <c r="AG268" s="416"/>
      <c r="AH268" s="416"/>
      <c r="AI268" s="416"/>
      <c r="AJ268" s="416"/>
      <c r="AK268" s="416"/>
      <c r="AL268" s="416"/>
      <c r="AM268" s="416"/>
      <c r="AN268" s="416"/>
      <c r="AO268" s="416"/>
      <c r="AP268" s="416"/>
      <c r="AQ268" s="416"/>
      <c r="AR268" s="416"/>
      <c r="AS268" s="416"/>
      <c r="AT268" s="416"/>
    </row>
    <row r="269" spans="3:46" x14ac:dyDescent="0.2">
      <c r="C269" s="416"/>
      <c r="D269" s="416"/>
      <c r="E269" s="416"/>
      <c r="F269" s="416"/>
      <c r="G269" s="416"/>
      <c r="H269" s="416"/>
      <c r="I269" s="416"/>
      <c r="J269" s="416"/>
      <c r="K269" s="416"/>
      <c r="M269" s="416"/>
      <c r="N269" s="416"/>
      <c r="O269" s="416"/>
      <c r="P269" s="416"/>
      <c r="Q269" s="416"/>
      <c r="R269" s="416"/>
      <c r="S269" s="416"/>
      <c r="T269" s="416"/>
      <c r="U269" s="416"/>
      <c r="V269" s="416"/>
      <c r="W269" s="416"/>
      <c r="X269" s="416"/>
      <c r="Y269" s="416"/>
      <c r="Z269" s="416"/>
      <c r="AA269" s="416"/>
      <c r="AB269" s="416"/>
      <c r="AC269" s="416"/>
      <c r="AD269" s="416"/>
      <c r="AE269" s="416"/>
      <c r="AF269" s="416"/>
      <c r="AG269" s="416"/>
      <c r="AH269" s="416"/>
      <c r="AI269" s="416"/>
      <c r="AJ269" s="416"/>
      <c r="AK269" s="416"/>
      <c r="AL269" s="416"/>
      <c r="AM269" s="416"/>
      <c r="AN269" s="416"/>
      <c r="AO269" s="416"/>
      <c r="AP269" s="416"/>
      <c r="AQ269" s="416"/>
      <c r="AR269" s="416"/>
      <c r="AS269" s="416"/>
      <c r="AT269" s="416"/>
    </row>
    <row r="304" spans="3:44" x14ac:dyDescent="0.2">
      <c r="C304" s="416"/>
      <c r="D304" s="416"/>
      <c r="E304" s="416"/>
      <c r="F304" s="416"/>
      <c r="G304" s="416"/>
      <c r="H304" s="416"/>
      <c r="I304" s="416"/>
      <c r="J304" s="416"/>
      <c r="K304" s="416"/>
      <c r="M304" s="416"/>
      <c r="N304" s="416"/>
      <c r="O304" s="416"/>
      <c r="P304" s="416"/>
      <c r="Q304" s="416"/>
      <c r="R304" s="416"/>
      <c r="S304" s="416"/>
      <c r="T304" s="416"/>
      <c r="U304" s="416"/>
      <c r="V304" s="416"/>
      <c r="W304" s="416"/>
      <c r="X304" s="416"/>
      <c r="Y304" s="416"/>
      <c r="Z304" s="416"/>
      <c r="AA304" s="416"/>
      <c r="AB304" s="416"/>
      <c r="AC304" s="416"/>
      <c r="AD304" s="416"/>
      <c r="AE304" s="416"/>
      <c r="AF304" s="416"/>
      <c r="AG304" s="416"/>
      <c r="AH304" s="416"/>
      <c r="AI304" s="416"/>
      <c r="AJ304" s="416"/>
      <c r="AK304" s="416"/>
      <c r="AL304" s="416"/>
      <c r="AM304" s="416"/>
      <c r="AN304" s="416"/>
      <c r="AO304" s="416"/>
      <c r="AP304" s="416"/>
      <c r="AQ304" s="416"/>
      <c r="AR304" s="416"/>
    </row>
    <row r="305" spans="3:46" x14ac:dyDescent="0.2">
      <c r="C305" s="416"/>
      <c r="D305" s="416"/>
      <c r="E305" s="416"/>
      <c r="F305" s="416"/>
      <c r="G305" s="416"/>
      <c r="H305" s="416"/>
      <c r="I305" s="416"/>
      <c r="J305" s="416"/>
      <c r="K305" s="416"/>
      <c r="M305" s="416"/>
      <c r="N305" s="416"/>
      <c r="O305" s="416"/>
      <c r="P305" s="416"/>
      <c r="Q305" s="416"/>
      <c r="R305" s="416"/>
      <c r="S305" s="416"/>
      <c r="T305" s="416"/>
      <c r="U305" s="416"/>
      <c r="V305" s="416"/>
      <c r="W305" s="416"/>
      <c r="X305" s="416"/>
      <c r="Y305" s="416"/>
      <c r="Z305" s="416"/>
      <c r="AA305" s="416"/>
      <c r="AB305" s="416"/>
      <c r="AC305" s="416"/>
      <c r="AD305" s="416"/>
      <c r="AE305" s="416"/>
      <c r="AF305" s="416"/>
      <c r="AG305" s="416"/>
      <c r="AH305" s="416"/>
      <c r="AI305" s="416"/>
      <c r="AJ305" s="416"/>
      <c r="AK305" s="416"/>
      <c r="AL305" s="416"/>
      <c r="AM305" s="416"/>
      <c r="AN305" s="416"/>
      <c r="AO305" s="416"/>
      <c r="AP305" s="416"/>
      <c r="AQ305" s="416"/>
      <c r="AR305" s="416"/>
      <c r="AS305" s="416"/>
      <c r="AT305" s="416"/>
    </row>
    <row r="313" spans="3:46" x14ac:dyDescent="0.2">
      <c r="C313" s="416"/>
      <c r="D313" s="416"/>
      <c r="E313" s="416"/>
      <c r="F313" s="416"/>
      <c r="G313" s="416"/>
      <c r="H313" s="416"/>
      <c r="I313" s="416"/>
      <c r="J313" s="416"/>
      <c r="K313" s="416"/>
      <c r="M313" s="416"/>
      <c r="N313" s="416"/>
      <c r="O313" s="416"/>
      <c r="P313" s="416"/>
      <c r="Q313" s="416"/>
      <c r="R313" s="416"/>
      <c r="S313" s="416"/>
      <c r="T313" s="416"/>
      <c r="U313" s="416"/>
      <c r="V313" s="416"/>
      <c r="W313" s="416"/>
      <c r="X313" s="416"/>
      <c r="Y313" s="416"/>
      <c r="Z313" s="416"/>
      <c r="AA313" s="416"/>
      <c r="AB313" s="416"/>
      <c r="AC313" s="416"/>
      <c r="AD313" s="416"/>
      <c r="AE313" s="416"/>
      <c r="AF313" s="416"/>
      <c r="AG313" s="416"/>
      <c r="AH313" s="416"/>
      <c r="AI313" s="416"/>
      <c r="AJ313" s="416"/>
      <c r="AK313" s="416"/>
      <c r="AL313" s="416"/>
      <c r="AM313" s="416"/>
      <c r="AN313" s="416"/>
      <c r="AO313" s="416"/>
      <c r="AP313" s="416"/>
      <c r="AQ313" s="416"/>
      <c r="AR313" s="416"/>
      <c r="AS313" s="416"/>
      <c r="AT313" s="416"/>
    </row>
    <row r="314" spans="3:46" hidden="1" x14ac:dyDescent="0.2">
      <c r="C314" s="416" t="s">
        <v>550</v>
      </c>
      <c r="D314" s="416"/>
      <c r="E314" s="416" t="s">
        <v>560</v>
      </c>
      <c r="F314" s="416" t="s">
        <v>561</v>
      </c>
      <c r="G314" s="416" t="s">
        <v>562</v>
      </c>
      <c r="H314" s="416"/>
      <c r="I314" s="416">
        <v>0</v>
      </c>
      <c r="J314" s="416"/>
      <c r="K314" s="416"/>
      <c r="M314" s="416"/>
      <c r="N314" s="416"/>
      <c r="O314" s="416"/>
      <c r="P314" s="416"/>
      <c r="Q314" s="416"/>
      <c r="R314" s="416"/>
      <c r="S314" s="416"/>
      <c r="T314" s="416"/>
      <c r="U314" s="416"/>
      <c r="V314" s="416"/>
      <c r="W314" s="416"/>
      <c r="X314" s="416"/>
      <c r="Y314" s="416"/>
      <c r="Z314" s="416"/>
      <c r="AA314" s="416"/>
      <c r="AB314" s="416"/>
      <c r="AC314" s="416"/>
      <c r="AD314" s="416"/>
      <c r="AE314" s="416"/>
      <c r="AF314" s="416"/>
      <c r="AG314" s="416"/>
      <c r="AH314" s="416"/>
      <c r="AI314" s="416"/>
      <c r="AJ314" s="416"/>
      <c r="AK314" s="416"/>
      <c r="AL314" s="416"/>
      <c r="AM314" s="416"/>
      <c r="AN314" s="416"/>
      <c r="AO314" s="416"/>
      <c r="AP314" s="416"/>
      <c r="AQ314" s="416"/>
      <c r="AR314" s="416"/>
      <c r="AS314" s="416"/>
      <c r="AT314" s="416"/>
    </row>
    <row r="315" spans="3:46" ht="15" hidden="1" x14ac:dyDescent="0.25">
      <c r="C315" s="416">
        <v>1</v>
      </c>
      <c r="D315" s="416"/>
      <c r="E315" s="416" t="s">
        <v>563</v>
      </c>
      <c r="F315" s="416" t="s">
        <v>564</v>
      </c>
      <c r="G315" s="350" t="s">
        <v>565</v>
      </c>
      <c r="H315" s="416"/>
      <c r="I315" s="416">
        <v>1</v>
      </c>
      <c r="J315" s="416"/>
      <c r="K315" s="416"/>
      <c r="M315" s="416"/>
      <c r="N315" s="416"/>
      <c r="O315" s="416"/>
      <c r="P315" s="416"/>
      <c r="Q315" s="416"/>
      <c r="R315" s="416"/>
      <c r="S315" s="416"/>
      <c r="T315" s="416"/>
      <c r="U315" s="416"/>
      <c r="V315" s="416"/>
      <c r="W315" s="416"/>
      <c r="X315" s="416"/>
      <c r="Y315" s="416"/>
      <c r="Z315" s="416"/>
      <c r="AA315" s="416"/>
      <c r="AB315" s="416"/>
      <c r="AC315" s="416"/>
      <c r="AD315" s="416"/>
      <c r="AE315" s="416"/>
      <c r="AF315" s="416"/>
      <c r="AG315" s="416"/>
      <c r="AH315" s="416"/>
      <c r="AI315" s="416"/>
      <c r="AJ315" s="416"/>
      <c r="AK315" s="416"/>
      <c r="AL315" s="416"/>
      <c r="AM315" s="416"/>
      <c r="AN315" s="416"/>
      <c r="AO315" s="416"/>
      <c r="AP315" s="416"/>
      <c r="AQ315" s="416"/>
      <c r="AR315" s="416"/>
      <c r="AS315" s="416"/>
      <c r="AT315" s="416"/>
    </row>
    <row r="316" spans="3:46" hidden="1" x14ac:dyDescent="0.2">
      <c r="C316" s="416">
        <v>2</v>
      </c>
      <c r="D316" s="416"/>
      <c r="E316" s="416"/>
      <c r="F316" s="416" t="s">
        <v>565</v>
      </c>
      <c r="G316" s="416" t="s">
        <v>566</v>
      </c>
      <c r="H316" s="416"/>
      <c r="I316" s="416">
        <v>2</v>
      </c>
      <c r="J316" s="416"/>
      <c r="K316" s="416"/>
      <c r="M316" s="416"/>
      <c r="N316" s="416"/>
      <c r="O316" s="416"/>
      <c r="P316" s="416"/>
      <c r="Q316" s="416"/>
      <c r="R316" s="416"/>
      <c r="S316" s="416"/>
      <c r="T316" s="416"/>
      <c r="U316" s="416"/>
      <c r="V316" s="416"/>
      <c r="W316" s="416"/>
      <c r="X316" s="416"/>
      <c r="Y316" s="416"/>
      <c r="Z316" s="416"/>
      <c r="AA316" s="416"/>
      <c r="AB316" s="416"/>
      <c r="AC316" s="416"/>
      <c r="AD316" s="416"/>
      <c r="AE316" s="416"/>
      <c r="AF316" s="416"/>
      <c r="AG316" s="416"/>
      <c r="AH316" s="416"/>
      <c r="AI316" s="416"/>
      <c r="AJ316" s="416"/>
      <c r="AK316" s="416"/>
      <c r="AL316" s="416"/>
      <c r="AM316" s="416"/>
      <c r="AN316" s="416"/>
      <c r="AO316" s="416"/>
      <c r="AP316" s="416"/>
      <c r="AQ316" s="416"/>
      <c r="AR316" s="416"/>
      <c r="AS316" s="416"/>
      <c r="AT316" s="416"/>
    </row>
    <row r="317" spans="3:46" hidden="1" x14ac:dyDescent="0.2">
      <c r="C317" s="416">
        <v>3</v>
      </c>
      <c r="D317" s="416"/>
      <c r="E317" s="416"/>
      <c r="F317" s="416" t="s">
        <v>567</v>
      </c>
      <c r="G317" s="416" t="s">
        <v>568</v>
      </c>
      <c r="H317" s="416"/>
      <c r="I317" s="416">
        <v>3</v>
      </c>
      <c r="J317" s="416"/>
      <c r="K317" s="416"/>
      <c r="M317" s="416"/>
      <c r="N317" s="416"/>
      <c r="O317" s="416"/>
      <c r="P317" s="416"/>
      <c r="Q317" s="416"/>
      <c r="R317" s="416"/>
      <c r="S317" s="416"/>
      <c r="T317" s="416"/>
      <c r="U317" s="416"/>
      <c r="V317" s="416"/>
      <c r="W317" s="416"/>
      <c r="X317" s="416"/>
      <c r="Y317" s="416"/>
      <c r="Z317" s="416"/>
      <c r="AA317" s="416"/>
      <c r="AB317" s="416"/>
      <c r="AC317" s="416"/>
      <c r="AD317" s="416"/>
      <c r="AE317" s="416"/>
      <c r="AF317" s="416"/>
      <c r="AG317" s="416"/>
      <c r="AH317" s="416"/>
      <c r="AI317" s="416"/>
      <c r="AJ317" s="416"/>
      <c r="AK317" s="416"/>
      <c r="AL317" s="416"/>
      <c r="AM317" s="416"/>
      <c r="AN317" s="416"/>
      <c r="AO317" s="416"/>
      <c r="AP317" s="416"/>
      <c r="AQ317" s="416"/>
      <c r="AR317" s="416"/>
      <c r="AS317" s="416"/>
      <c r="AT317" s="416"/>
    </row>
    <row r="318" spans="3:46" hidden="1" x14ac:dyDescent="0.2">
      <c r="C318" s="416">
        <v>4</v>
      </c>
      <c r="D318" s="416"/>
      <c r="E318" s="416"/>
      <c r="F318" s="416" t="s">
        <v>563</v>
      </c>
      <c r="G318" s="416" t="s">
        <v>563</v>
      </c>
      <c r="H318" s="416"/>
      <c r="I318" s="416">
        <v>4</v>
      </c>
      <c r="J318" s="416"/>
      <c r="K318" s="416"/>
      <c r="M318" s="416"/>
      <c r="N318" s="416"/>
      <c r="O318" s="416"/>
      <c r="P318" s="416"/>
      <c r="Q318" s="416"/>
      <c r="R318" s="416"/>
      <c r="S318" s="416"/>
      <c r="T318" s="416"/>
      <c r="U318" s="416"/>
      <c r="V318" s="416"/>
      <c r="W318" s="416"/>
      <c r="X318" s="416"/>
      <c r="Y318" s="416"/>
      <c r="Z318" s="416"/>
      <c r="AA318" s="416"/>
      <c r="AB318" s="416"/>
      <c r="AC318" s="416"/>
      <c r="AD318" s="416"/>
      <c r="AE318" s="416"/>
      <c r="AF318" s="416"/>
      <c r="AG318" s="416"/>
      <c r="AH318" s="416"/>
      <c r="AI318" s="416"/>
      <c r="AJ318" s="416"/>
      <c r="AK318" s="416"/>
      <c r="AL318" s="416"/>
      <c r="AM318" s="416"/>
      <c r="AN318" s="416"/>
      <c r="AO318" s="416"/>
      <c r="AP318" s="416"/>
      <c r="AQ318" s="416"/>
      <c r="AR318" s="416"/>
      <c r="AS318" s="416"/>
      <c r="AT318" s="416"/>
    </row>
    <row r="319" spans="3:46" hidden="1" x14ac:dyDescent="0.2">
      <c r="C319" s="416">
        <v>5</v>
      </c>
      <c r="D319" s="416"/>
      <c r="E319" s="416"/>
      <c r="F319" s="416"/>
      <c r="G319" s="416"/>
      <c r="H319" s="416"/>
      <c r="I319" s="416">
        <v>5</v>
      </c>
      <c r="J319" s="416"/>
      <c r="K319" s="416"/>
      <c r="M319" s="416"/>
      <c r="N319" s="416"/>
      <c r="O319" s="416"/>
      <c r="P319" s="416"/>
      <c r="Q319" s="416"/>
      <c r="R319" s="416"/>
      <c r="S319" s="416"/>
      <c r="T319" s="416"/>
      <c r="U319" s="416"/>
      <c r="V319" s="416"/>
      <c r="W319" s="416"/>
      <c r="X319" s="416"/>
      <c r="Y319" s="416"/>
      <c r="Z319" s="416"/>
      <c r="AA319" s="416"/>
      <c r="AB319" s="416"/>
      <c r="AC319" s="416"/>
      <c r="AD319" s="416"/>
      <c r="AE319" s="416"/>
      <c r="AF319" s="416"/>
      <c r="AG319" s="416"/>
      <c r="AH319" s="416"/>
      <c r="AI319" s="416"/>
      <c r="AJ319" s="416"/>
      <c r="AK319" s="416"/>
      <c r="AL319" s="416"/>
      <c r="AM319" s="416"/>
      <c r="AN319" s="416"/>
      <c r="AO319" s="416"/>
      <c r="AP319" s="416"/>
      <c r="AQ319" s="416"/>
      <c r="AR319" s="416"/>
      <c r="AS319" s="416"/>
      <c r="AT319" s="416"/>
    </row>
    <row r="320" spans="3:46" hidden="1" x14ac:dyDescent="0.2">
      <c r="C320" s="416"/>
      <c r="D320" s="416"/>
      <c r="E320" s="416"/>
      <c r="F320" s="416"/>
      <c r="G320" s="416"/>
      <c r="H320" s="416"/>
      <c r="I320" s="416">
        <v>6</v>
      </c>
      <c r="J320" s="416"/>
      <c r="K320" s="416"/>
      <c r="M320" s="416"/>
      <c r="N320" s="416"/>
      <c r="O320" s="416"/>
      <c r="P320" s="416"/>
      <c r="Q320" s="416"/>
      <c r="R320" s="416"/>
      <c r="S320" s="416"/>
      <c r="T320" s="416"/>
      <c r="U320" s="416"/>
      <c r="V320" s="416"/>
      <c r="W320" s="416"/>
      <c r="X320" s="416"/>
      <c r="Y320" s="416"/>
      <c r="Z320" s="416"/>
      <c r="AA320" s="416"/>
      <c r="AB320" s="416"/>
      <c r="AC320" s="416"/>
      <c r="AD320" s="416"/>
      <c r="AE320" s="416"/>
      <c r="AF320" s="416"/>
      <c r="AG320" s="416"/>
      <c r="AH320" s="416"/>
      <c r="AI320" s="416"/>
      <c r="AJ320" s="416"/>
      <c r="AK320" s="416"/>
      <c r="AL320" s="416"/>
      <c r="AM320" s="416"/>
      <c r="AN320" s="416"/>
      <c r="AO320" s="416"/>
      <c r="AP320" s="416"/>
      <c r="AQ320" s="416"/>
      <c r="AR320" s="416"/>
      <c r="AS320" s="416"/>
      <c r="AT320" s="416"/>
    </row>
    <row r="321" spans="3:46" hidden="1" x14ac:dyDescent="0.2">
      <c r="C321" s="416"/>
      <c r="D321" s="416"/>
      <c r="E321" s="416"/>
      <c r="F321" s="416"/>
      <c r="G321" s="416"/>
      <c r="H321" s="416"/>
      <c r="I321" s="416">
        <v>7</v>
      </c>
      <c r="J321" s="416"/>
      <c r="K321" s="416"/>
      <c r="M321" s="416"/>
      <c r="N321" s="416"/>
      <c r="O321" s="416"/>
      <c r="P321" s="416"/>
      <c r="Q321" s="416"/>
      <c r="R321" s="416"/>
      <c r="S321" s="416"/>
      <c r="T321" s="416"/>
      <c r="U321" s="416"/>
      <c r="V321" s="416"/>
      <c r="W321" s="416"/>
      <c r="X321" s="416"/>
      <c r="Y321" s="416"/>
      <c r="Z321" s="416"/>
      <c r="AA321" s="416"/>
      <c r="AB321" s="416"/>
      <c r="AC321" s="416"/>
      <c r="AD321" s="416"/>
      <c r="AE321" s="416"/>
      <c r="AF321" s="416"/>
      <c r="AG321" s="416"/>
      <c r="AH321" s="416"/>
      <c r="AI321" s="416"/>
      <c r="AJ321" s="416"/>
      <c r="AK321" s="416"/>
      <c r="AL321" s="416"/>
      <c r="AM321" s="416"/>
      <c r="AN321" s="416"/>
      <c r="AO321" s="416"/>
      <c r="AP321" s="416"/>
      <c r="AQ321" s="416"/>
      <c r="AR321" s="416"/>
      <c r="AS321" s="416"/>
      <c r="AT321" s="416"/>
    </row>
    <row r="322" spans="3:46" hidden="1" x14ac:dyDescent="0.2">
      <c r="C322" s="416"/>
      <c r="D322" s="416"/>
      <c r="E322" s="416"/>
      <c r="F322" s="416"/>
      <c r="G322" s="416"/>
      <c r="H322" s="416"/>
      <c r="I322" s="416">
        <v>8</v>
      </c>
      <c r="J322" s="416"/>
      <c r="K322" s="416"/>
      <c r="M322" s="416"/>
      <c r="N322" s="416"/>
      <c r="O322" s="416"/>
      <c r="P322" s="416"/>
      <c r="Q322" s="416"/>
      <c r="R322" s="416"/>
      <c r="S322" s="416"/>
      <c r="T322" s="416"/>
      <c r="U322" s="416"/>
      <c r="V322" s="416"/>
      <c r="W322" s="416"/>
      <c r="X322" s="416"/>
      <c r="Y322" s="416"/>
      <c r="Z322" s="416"/>
      <c r="AA322" s="416"/>
      <c r="AB322" s="416"/>
      <c r="AC322" s="416"/>
      <c r="AD322" s="416"/>
      <c r="AE322" s="416"/>
      <c r="AF322" s="416"/>
      <c r="AG322" s="416"/>
      <c r="AH322" s="416"/>
      <c r="AI322" s="416"/>
      <c r="AJ322" s="416"/>
      <c r="AK322" s="416"/>
      <c r="AL322" s="416"/>
      <c r="AM322" s="416"/>
      <c r="AN322" s="416"/>
      <c r="AO322" s="416"/>
      <c r="AP322" s="416"/>
      <c r="AQ322" s="416"/>
      <c r="AR322" s="416"/>
      <c r="AS322" s="416"/>
      <c r="AT322" s="416"/>
    </row>
    <row r="323" spans="3:46" hidden="1" x14ac:dyDescent="0.2">
      <c r="C323" s="416"/>
      <c r="D323" s="416"/>
      <c r="E323" s="416"/>
      <c r="F323" s="416"/>
      <c r="G323" s="416"/>
      <c r="H323" s="416"/>
      <c r="I323" s="416">
        <v>9</v>
      </c>
      <c r="J323" s="416"/>
      <c r="K323" s="416"/>
      <c r="M323" s="416"/>
      <c r="N323" s="416"/>
      <c r="O323" s="416"/>
      <c r="P323" s="416"/>
      <c r="Q323" s="416"/>
      <c r="R323" s="416"/>
      <c r="S323" s="416"/>
      <c r="T323" s="416"/>
      <c r="U323" s="416"/>
      <c r="V323" s="416"/>
      <c r="W323" s="416"/>
      <c r="X323" s="416"/>
      <c r="Y323" s="416"/>
      <c r="Z323" s="416"/>
      <c r="AA323" s="416"/>
      <c r="AB323" s="416"/>
      <c r="AC323" s="416"/>
      <c r="AD323" s="416"/>
      <c r="AE323" s="416"/>
      <c r="AF323" s="416"/>
      <c r="AG323" s="416"/>
      <c r="AH323" s="416"/>
      <c r="AI323" s="416"/>
      <c r="AJ323" s="416"/>
      <c r="AK323" s="416"/>
      <c r="AL323" s="416"/>
      <c r="AM323" s="416"/>
      <c r="AN323" s="416"/>
      <c r="AO323" s="416"/>
      <c r="AP323" s="416"/>
      <c r="AQ323" s="416"/>
      <c r="AR323" s="416"/>
      <c r="AS323" s="416"/>
      <c r="AT323" s="416"/>
    </row>
    <row r="324" spans="3:46" hidden="1" x14ac:dyDescent="0.2">
      <c r="C324" s="416"/>
      <c r="D324" s="416"/>
      <c r="E324" s="416"/>
      <c r="F324" s="416"/>
      <c r="G324" s="416"/>
      <c r="H324" s="416"/>
      <c r="I324" s="416">
        <v>10</v>
      </c>
      <c r="J324" s="416"/>
      <c r="K324" s="416"/>
      <c r="M324" s="416"/>
      <c r="N324" s="416"/>
      <c r="O324" s="416"/>
      <c r="P324" s="416"/>
      <c r="Q324" s="416"/>
      <c r="R324" s="416"/>
      <c r="S324" s="416"/>
      <c r="T324" s="416"/>
      <c r="U324" s="416"/>
      <c r="V324" s="416"/>
      <c r="W324" s="416"/>
      <c r="X324" s="416"/>
      <c r="Y324" s="416"/>
      <c r="Z324" s="416"/>
      <c r="AA324" s="416"/>
      <c r="AB324" s="416"/>
      <c r="AC324" s="416"/>
      <c r="AD324" s="416"/>
      <c r="AE324" s="416"/>
      <c r="AF324" s="416"/>
      <c r="AG324" s="416"/>
      <c r="AH324" s="416"/>
      <c r="AI324" s="416"/>
      <c r="AJ324" s="416"/>
      <c r="AK324" s="416"/>
      <c r="AL324" s="416"/>
      <c r="AM324" s="416"/>
      <c r="AN324" s="416"/>
      <c r="AO324" s="416"/>
      <c r="AP324" s="416"/>
      <c r="AQ324" s="416"/>
      <c r="AR324" s="416"/>
      <c r="AS324" s="416"/>
      <c r="AT324" s="416"/>
    </row>
    <row r="325" spans="3:46" hidden="1" x14ac:dyDescent="0.2">
      <c r="C325" s="416"/>
      <c r="D325" s="416"/>
      <c r="E325" s="416"/>
      <c r="F325" s="416"/>
      <c r="G325" s="416"/>
      <c r="H325" s="416"/>
      <c r="I325" s="416">
        <v>11</v>
      </c>
      <c r="J325" s="416"/>
      <c r="K325" s="416"/>
      <c r="M325" s="416"/>
      <c r="N325" s="416"/>
      <c r="O325" s="416"/>
      <c r="P325" s="416"/>
      <c r="Q325" s="416"/>
      <c r="R325" s="416"/>
      <c r="S325" s="416"/>
      <c r="T325" s="416"/>
      <c r="U325" s="416"/>
      <c r="V325" s="416"/>
      <c r="W325" s="416"/>
      <c r="X325" s="416"/>
      <c r="Y325" s="416"/>
      <c r="Z325" s="416"/>
      <c r="AA325" s="416"/>
      <c r="AB325" s="416"/>
      <c r="AC325" s="416"/>
      <c r="AD325" s="416"/>
      <c r="AE325" s="416"/>
      <c r="AF325" s="416"/>
      <c r="AG325" s="416"/>
      <c r="AH325" s="416"/>
      <c r="AI325" s="416"/>
      <c r="AJ325" s="416"/>
      <c r="AK325" s="416"/>
      <c r="AL325" s="416"/>
      <c r="AM325" s="416"/>
      <c r="AN325" s="416"/>
      <c r="AO325" s="416"/>
      <c r="AP325" s="416"/>
      <c r="AQ325" s="416"/>
      <c r="AR325" s="416"/>
      <c r="AS325" s="416"/>
      <c r="AT325" s="416"/>
    </row>
    <row r="326" spans="3:46" hidden="1" x14ac:dyDescent="0.2">
      <c r="C326" s="416"/>
      <c r="D326" s="416"/>
      <c r="E326" s="416"/>
      <c r="F326" s="416"/>
      <c r="G326" s="416"/>
      <c r="H326" s="416"/>
      <c r="I326" s="416">
        <v>12</v>
      </c>
      <c r="J326" s="416"/>
      <c r="K326" s="416"/>
      <c r="M326" s="416"/>
      <c r="N326" s="416"/>
      <c r="O326" s="416"/>
      <c r="P326" s="416"/>
      <c r="Q326" s="416"/>
      <c r="R326" s="416"/>
      <c r="S326" s="416"/>
      <c r="T326" s="416"/>
      <c r="U326" s="416"/>
      <c r="V326" s="416"/>
      <c r="W326" s="416"/>
      <c r="X326" s="416"/>
      <c r="Y326" s="416"/>
      <c r="Z326" s="416"/>
      <c r="AA326" s="416"/>
      <c r="AB326" s="416"/>
      <c r="AC326" s="416"/>
      <c r="AD326" s="416"/>
      <c r="AE326" s="416"/>
      <c r="AF326" s="416"/>
      <c r="AG326" s="416"/>
      <c r="AH326" s="416"/>
      <c r="AI326" s="416"/>
      <c r="AJ326" s="416"/>
      <c r="AK326" s="416"/>
      <c r="AL326" s="416"/>
      <c r="AM326" s="416"/>
      <c r="AN326" s="416"/>
      <c r="AO326" s="416"/>
      <c r="AP326" s="416"/>
      <c r="AQ326" s="416"/>
      <c r="AR326" s="416"/>
      <c r="AS326" s="416"/>
      <c r="AT326" s="416"/>
    </row>
    <row r="327" spans="3:46" hidden="1" x14ac:dyDescent="0.2">
      <c r="C327" s="416"/>
      <c r="D327" s="416"/>
      <c r="E327" s="416"/>
      <c r="F327" s="416"/>
      <c r="G327" s="416"/>
      <c r="H327" s="416"/>
      <c r="I327" s="416">
        <v>13</v>
      </c>
      <c r="J327" s="416"/>
      <c r="K327" s="416"/>
      <c r="M327" s="416"/>
      <c r="N327" s="416"/>
      <c r="O327" s="416"/>
      <c r="P327" s="416"/>
      <c r="Q327" s="416"/>
      <c r="R327" s="416"/>
      <c r="S327" s="416"/>
      <c r="T327" s="416"/>
      <c r="U327" s="416"/>
      <c r="V327" s="416"/>
      <c r="W327" s="416"/>
      <c r="X327" s="416"/>
      <c r="Y327" s="416"/>
      <c r="Z327" s="416"/>
      <c r="AA327" s="416"/>
      <c r="AB327" s="416"/>
      <c r="AC327" s="416"/>
      <c r="AD327" s="416"/>
      <c r="AE327" s="416"/>
      <c r="AF327" s="416"/>
      <c r="AG327" s="416"/>
      <c r="AH327" s="416"/>
      <c r="AI327" s="416"/>
      <c r="AJ327" s="416"/>
      <c r="AK327" s="416"/>
      <c r="AL327" s="416"/>
      <c r="AM327" s="416"/>
      <c r="AN327" s="416"/>
      <c r="AO327" s="416"/>
      <c r="AP327" s="416"/>
      <c r="AQ327" s="416"/>
      <c r="AR327" s="416"/>
      <c r="AS327" s="416"/>
      <c r="AT327" s="416"/>
    </row>
    <row r="328" spans="3:46" hidden="1" x14ac:dyDescent="0.2">
      <c r="C328" s="416"/>
      <c r="D328" s="416"/>
      <c r="E328" s="416"/>
      <c r="F328" s="416"/>
      <c r="G328" s="416"/>
      <c r="H328" s="416"/>
      <c r="I328" s="416">
        <v>14</v>
      </c>
      <c r="J328" s="416"/>
      <c r="K328" s="416"/>
      <c r="M328" s="416"/>
      <c r="N328" s="416"/>
      <c r="O328" s="416"/>
      <c r="P328" s="416"/>
      <c r="Q328" s="416"/>
      <c r="R328" s="416"/>
      <c r="S328" s="416"/>
      <c r="T328" s="416"/>
      <c r="U328" s="416"/>
      <c r="V328" s="416"/>
      <c r="W328" s="416"/>
      <c r="X328" s="416"/>
      <c r="Y328" s="416"/>
      <c r="Z328" s="416"/>
      <c r="AA328" s="416"/>
      <c r="AB328" s="416"/>
      <c r="AC328" s="416"/>
      <c r="AD328" s="416"/>
      <c r="AE328" s="416"/>
      <c r="AF328" s="416"/>
      <c r="AG328" s="416"/>
      <c r="AH328" s="416"/>
      <c r="AI328" s="416"/>
      <c r="AJ328" s="416"/>
      <c r="AK328" s="416"/>
      <c r="AL328" s="416"/>
      <c r="AM328" s="416"/>
      <c r="AN328" s="416"/>
      <c r="AO328" s="416"/>
      <c r="AP328" s="416"/>
      <c r="AQ328" s="416"/>
      <c r="AR328" s="416"/>
      <c r="AS328" s="416"/>
      <c r="AT328" s="416"/>
    </row>
    <row r="329" spans="3:46" hidden="1" x14ac:dyDescent="0.2">
      <c r="C329" s="416"/>
      <c r="D329" s="416"/>
      <c r="E329" s="416"/>
      <c r="F329" s="416"/>
      <c r="G329" s="416"/>
      <c r="H329" s="416"/>
      <c r="I329" s="416">
        <v>15</v>
      </c>
      <c r="J329" s="416"/>
      <c r="K329" s="416"/>
      <c r="M329" s="416"/>
      <c r="N329" s="416"/>
      <c r="O329" s="416"/>
      <c r="P329" s="416"/>
      <c r="Q329" s="416"/>
      <c r="R329" s="416"/>
      <c r="S329" s="416"/>
      <c r="T329" s="416"/>
      <c r="U329" s="416"/>
      <c r="V329" s="416"/>
      <c r="W329" s="416"/>
      <c r="X329" s="416"/>
      <c r="Y329" s="416"/>
      <c r="Z329" s="416"/>
      <c r="AA329" s="416"/>
      <c r="AB329" s="416"/>
      <c r="AC329" s="416"/>
      <c r="AD329" s="416"/>
      <c r="AE329" s="416"/>
      <c r="AF329" s="416"/>
      <c r="AG329" s="416"/>
      <c r="AH329" s="416"/>
      <c r="AI329" s="416"/>
      <c r="AJ329" s="416"/>
      <c r="AK329" s="416"/>
      <c r="AL329" s="416"/>
      <c r="AM329" s="416"/>
      <c r="AN329" s="416"/>
      <c r="AO329" s="416"/>
      <c r="AP329" s="416"/>
      <c r="AQ329" s="416"/>
      <c r="AR329" s="416"/>
      <c r="AS329" s="416"/>
      <c r="AT329" s="416"/>
    </row>
    <row r="330" spans="3:46" hidden="1" x14ac:dyDescent="0.2">
      <c r="C330" s="416"/>
      <c r="D330" s="416"/>
      <c r="E330" s="416"/>
      <c r="F330" s="416"/>
      <c r="G330" s="416"/>
      <c r="H330" s="416"/>
      <c r="I330" s="416">
        <v>16</v>
      </c>
      <c r="J330" s="416"/>
      <c r="K330" s="416"/>
      <c r="M330" s="416"/>
      <c r="N330" s="416"/>
      <c r="O330" s="416"/>
      <c r="P330" s="416"/>
      <c r="Q330" s="416"/>
      <c r="R330" s="416"/>
      <c r="S330" s="416"/>
      <c r="T330" s="416"/>
      <c r="U330" s="416"/>
      <c r="V330" s="416"/>
      <c r="W330" s="416"/>
      <c r="X330" s="416"/>
      <c r="Y330" s="416"/>
      <c r="Z330" s="416"/>
      <c r="AA330" s="416"/>
      <c r="AB330" s="416"/>
      <c r="AC330" s="416"/>
      <c r="AD330" s="416"/>
      <c r="AE330" s="416"/>
      <c r="AF330" s="416"/>
      <c r="AG330" s="416"/>
      <c r="AH330" s="416"/>
      <c r="AI330" s="416"/>
      <c r="AJ330" s="416"/>
      <c r="AK330" s="416"/>
      <c r="AL330" s="416"/>
      <c r="AM330" s="416"/>
      <c r="AN330" s="416"/>
      <c r="AO330" s="416"/>
      <c r="AP330" s="416"/>
      <c r="AQ330" s="416"/>
      <c r="AR330" s="416"/>
      <c r="AS330" s="416"/>
      <c r="AT330" s="416"/>
    </row>
    <row r="331" spans="3:46" hidden="1" x14ac:dyDescent="0.2">
      <c r="C331" s="416"/>
      <c r="D331" s="416"/>
      <c r="E331" s="416"/>
      <c r="F331" s="416"/>
      <c r="G331" s="416"/>
      <c r="H331" s="416"/>
      <c r="I331" s="416">
        <v>17</v>
      </c>
      <c r="J331" s="416"/>
      <c r="K331" s="416"/>
      <c r="M331" s="416"/>
      <c r="N331" s="416"/>
      <c r="O331" s="416"/>
      <c r="P331" s="416"/>
      <c r="Q331" s="416"/>
      <c r="R331" s="416"/>
      <c r="S331" s="416"/>
      <c r="T331" s="416"/>
      <c r="U331" s="416"/>
      <c r="V331" s="416"/>
      <c r="W331" s="416"/>
      <c r="X331" s="416"/>
      <c r="Y331" s="416"/>
      <c r="Z331" s="416"/>
      <c r="AA331" s="416"/>
      <c r="AB331" s="416"/>
      <c r="AC331" s="416"/>
      <c r="AD331" s="416"/>
      <c r="AE331" s="416"/>
      <c r="AF331" s="416"/>
      <c r="AG331" s="416"/>
      <c r="AH331" s="416"/>
      <c r="AI331" s="416"/>
      <c r="AJ331" s="416"/>
      <c r="AK331" s="416"/>
      <c r="AL331" s="416"/>
      <c r="AM331" s="416"/>
      <c r="AN331" s="416"/>
      <c r="AO331" s="416"/>
      <c r="AP331" s="416"/>
      <c r="AQ331" s="416"/>
      <c r="AR331" s="416"/>
      <c r="AS331" s="416"/>
      <c r="AT331" s="416"/>
    </row>
    <row r="332" spans="3:46" hidden="1" x14ac:dyDescent="0.2">
      <c r="C332" s="416"/>
      <c r="D332" s="416"/>
      <c r="E332" s="416"/>
      <c r="F332" s="416"/>
      <c r="G332" s="416"/>
      <c r="H332" s="416"/>
      <c r="I332" s="416">
        <v>18</v>
      </c>
      <c r="J332" s="416"/>
      <c r="K332" s="416"/>
      <c r="M332" s="416"/>
      <c r="N332" s="416"/>
      <c r="O332" s="416"/>
      <c r="P332" s="416"/>
      <c r="Q332" s="416"/>
      <c r="R332" s="416"/>
      <c r="S332" s="416"/>
      <c r="T332" s="416"/>
      <c r="U332" s="416"/>
      <c r="V332" s="416"/>
      <c r="W332" s="416"/>
      <c r="X332" s="416"/>
      <c r="Y332" s="416"/>
      <c r="Z332" s="416"/>
      <c r="AA332" s="416"/>
      <c r="AB332" s="416"/>
      <c r="AC332" s="416"/>
      <c r="AD332" s="416"/>
      <c r="AE332" s="416"/>
      <c r="AF332" s="416"/>
      <c r="AG332" s="416"/>
      <c r="AH332" s="416"/>
      <c r="AI332" s="416"/>
      <c r="AJ332" s="416"/>
      <c r="AK332" s="416"/>
      <c r="AL332" s="416"/>
      <c r="AM332" s="416"/>
      <c r="AN332" s="416"/>
      <c r="AO332" s="416"/>
      <c r="AP332" s="416"/>
      <c r="AQ332" s="416"/>
      <c r="AR332" s="416"/>
      <c r="AS332" s="416"/>
      <c r="AT332" s="416"/>
    </row>
    <row r="333" spans="3:46" hidden="1" x14ac:dyDescent="0.2">
      <c r="C333" s="416"/>
      <c r="D333" s="416"/>
      <c r="E333" s="416"/>
      <c r="F333" s="416"/>
      <c r="G333" s="416"/>
      <c r="H333" s="416"/>
      <c r="I333" s="416">
        <v>19</v>
      </c>
      <c r="J333" s="416"/>
      <c r="K333" s="416"/>
      <c r="M333" s="416"/>
      <c r="N333" s="416"/>
      <c r="O333" s="416"/>
      <c r="P333" s="416"/>
      <c r="Q333" s="416"/>
      <c r="R333" s="416"/>
      <c r="S333" s="416"/>
      <c r="T333" s="416"/>
      <c r="U333" s="416"/>
      <c r="V333" s="416"/>
      <c r="W333" s="416"/>
      <c r="X333" s="416"/>
      <c r="Y333" s="416"/>
      <c r="Z333" s="416"/>
      <c r="AA333" s="416"/>
      <c r="AB333" s="416"/>
      <c r="AC333" s="416"/>
      <c r="AD333" s="416"/>
      <c r="AE333" s="416"/>
      <c r="AF333" s="416"/>
      <c r="AG333" s="416"/>
      <c r="AH333" s="416"/>
      <c r="AI333" s="416"/>
      <c r="AJ333" s="416"/>
      <c r="AK333" s="416"/>
      <c r="AL333" s="416"/>
      <c r="AM333" s="416"/>
      <c r="AN333" s="416"/>
      <c r="AO333" s="416"/>
      <c r="AP333" s="416"/>
      <c r="AQ333" s="416"/>
      <c r="AR333" s="416"/>
      <c r="AS333" s="416"/>
      <c r="AT333" s="416"/>
    </row>
    <row r="334" spans="3:46" hidden="1" x14ac:dyDescent="0.2">
      <c r="C334" s="416"/>
      <c r="D334" s="416"/>
      <c r="E334" s="416"/>
      <c r="F334" s="416"/>
      <c r="G334" s="416"/>
      <c r="H334" s="416"/>
      <c r="I334" s="416">
        <v>20</v>
      </c>
      <c r="J334" s="416"/>
      <c r="K334" s="416"/>
      <c r="M334" s="416"/>
      <c r="N334" s="416"/>
      <c r="O334" s="416"/>
      <c r="P334" s="416"/>
      <c r="Q334" s="416"/>
      <c r="R334" s="416"/>
      <c r="S334" s="416"/>
      <c r="T334" s="416"/>
      <c r="U334" s="416"/>
      <c r="V334" s="416"/>
      <c r="W334" s="416"/>
      <c r="X334" s="416"/>
      <c r="Y334" s="416"/>
      <c r="Z334" s="416"/>
      <c r="AA334" s="416"/>
      <c r="AB334" s="416"/>
      <c r="AC334" s="416"/>
      <c r="AD334" s="416"/>
      <c r="AE334" s="416"/>
      <c r="AF334" s="416"/>
      <c r="AG334" s="416"/>
      <c r="AH334" s="416"/>
      <c r="AI334" s="416"/>
      <c r="AJ334" s="416"/>
      <c r="AK334" s="416"/>
      <c r="AL334" s="416"/>
      <c r="AM334" s="416"/>
      <c r="AN334" s="416"/>
      <c r="AO334" s="416"/>
      <c r="AP334" s="416"/>
      <c r="AQ334" s="416"/>
      <c r="AR334" s="416"/>
      <c r="AS334" s="416"/>
      <c r="AT334" s="416"/>
    </row>
    <row r="335" spans="3:46" hidden="1" x14ac:dyDescent="0.2">
      <c r="C335" s="416"/>
      <c r="D335" s="416"/>
      <c r="E335" s="416"/>
      <c r="F335" s="416"/>
      <c r="G335" s="416"/>
      <c r="H335" s="416"/>
      <c r="I335" s="416">
        <v>21</v>
      </c>
      <c r="J335" s="416"/>
      <c r="K335" s="416"/>
      <c r="M335" s="416"/>
      <c r="N335" s="416"/>
      <c r="O335" s="416"/>
      <c r="P335" s="416"/>
      <c r="Q335" s="416"/>
      <c r="R335" s="416"/>
      <c r="S335" s="416"/>
      <c r="T335" s="416"/>
      <c r="U335" s="416"/>
      <c r="V335" s="416"/>
      <c r="W335" s="416"/>
      <c r="X335" s="416"/>
      <c r="Y335" s="416"/>
      <c r="Z335" s="416"/>
      <c r="AA335" s="416"/>
      <c r="AB335" s="416"/>
      <c r="AC335" s="416"/>
      <c r="AD335" s="416"/>
      <c r="AE335" s="416"/>
      <c r="AF335" s="416"/>
      <c r="AG335" s="416"/>
      <c r="AH335" s="416"/>
      <c r="AI335" s="416"/>
      <c r="AJ335" s="416"/>
      <c r="AK335" s="416"/>
      <c r="AL335" s="416"/>
      <c r="AM335" s="416"/>
      <c r="AN335" s="416"/>
      <c r="AO335" s="416"/>
      <c r="AP335" s="416"/>
      <c r="AQ335" s="416"/>
      <c r="AR335" s="416"/>
      <c r="AS335" s="416"/>
      <c r="AT335" s="416"/>
    </row>
    <row r="336" spans="3:46" hidden="1" x14ac:dyDescent="0.2">
      <c r="C336" s="416"/>
      <c r="D336" s="416"/>
      <c r="E336" s="416"/>
      <c r="F336" s="416"/>
      <c r="G336" s="416"/>
      <c r="H336" s="416"/>
      <c r="I336" s="416">
        <v>22</v>
      </c>
      <c r="J336" s="416"/>
      <c r="K336" s="416"/>
      <c r="M336" s="416"/>
      <c r="N336" s="416"/>
      <c r="O336" s="416"/>
      <c r="P336" s="416"/>
      <c r="Q336" s="416"/>
      <c r="R336" s="416"/>
      <c r="S336" s="416"/>
      <c r="T336" s="416"/>
      <c r="U336" s="416"/>
      <c r="V336" s="416"/>
      <c r="W336" s="416"/>
      <c r="X336" s="416"/>
      <c r="Y336" s="416"/>
      <c r="Z336" s="416"/>
      <c r="AA336" s="416"/>
      <c r="AB336" s="416"/>
      <c r="AC336" s="416"/>
      <c r="AD336" s="416"/>
      <c r="AE336" s="416"/>
      <c r="AF336" s="416"/>
      <c r="AG336" s="416"/>
      <c r="AH336" s="416"/>
      <c r="AI336" s="416"/>
      <c r="AJ336" s="416"/>
      <c r="AK336" s="416"/>
      <c r="AL336" s="416"/>
      <c r="AM336" s="416"/>
      <c r="AN336" s="416"/>
      <c r="AO336" s="416"/>
      <c r="AP336" s="416"/>
      <c r="AQ336" s="416"/>
      <c r="AR336" s="416"/>
      <c r="AS336" s="416"/>
      <c r="AT336" s="416"/>
    </row>
    <row r="337" spans="3:46" hidden="1" x14ac:dyDescent="0.2">
      <c r="C337" s="416"/>
      <c r="D337" s="416"/>
      <c r="E337" s="416"/>
      <c r="F337" s="416"/>
      <c r="G337" s="416"/>
      <c r="H337" s="416"/>
      <c r="I337" s="416">
        <v>23</v>
      </c>
      <c r="J337" s="416"/>
      <c r="K337" s="416"/>
      <c r="M337" s="416"/>
      <c r="N337" s="416"/>
      <c r="O337" s="416"/>
      <c r="P337" s="416"/>
      <c r="Q337" s="416"/>
      <c r="R337" s="416"/>
      <c r="S337" s="416"/>
      <c r="T337" s="416"/>
      <c r="U337" s="416"/>
      <c r="V337" s="416"/>
      <c r="W337" s="416"/>
      <c r="X337" s="416"/>
      <c r="Y337" s="416"/>
      <c r="Z337" s="416"/>
      <c r="AA337" s="416"/>
      <c r="AB337" s="416"/>
      <c r="AC337" s="416"/>
      <c r="AD337" s="416"/>
      <c r="AE337" s="416"/>
      <c r="AF337" s="416"/>
      <c r="AG337" s="416"/>
      <c r="AH337" s="416"/>
      <c r="AI337" s="416"/>
      <c r="AJ337" s="416"/>
      <c r="AK337" s="416"/>
      <c r="AL337" s="416"/>
      <c r="AM337" s="416"/>
      <c r="AN337" s="416"/>
      <c r="AO337" s="416"/>
      <c r="AP337" s="416"/>
      <c r="AQ337" s="416"/>
      <c r="AR337" s="416"/>
      <c r="AS337" s="416"/>
      <c r="AT337" s="416"/>
    </row>
    <row r="338" spans="3:46" hidden="1" x14ac:dyDescent="0.2">
      <c r="C338" s="416"/>
      <c r="D338" s="416"/>
      <c r="E338" s="416"/>
      <c r="F338" s="416"/>
      <c r="G338" s="416"/>
      <c r="H338" s="416"/>
      <c r="I338" s="416">
        <v>24</v>
      </c>
      <c r="J338" s="416"/>
      <c r="K338" s="416"/>
      <c r="M338" s="416"/>
      <c r="N338" s="416"/>
      <c r="O338" s="416"/>
      <c r="P338" s="416"/>
      <c r="Q338" s="416"/>
      <c r="R338" s="416"/>
      <c r="S338" s="416"/>
      <c r="T338" s="416"/>
      <c r="U338" s="416"/>
      <c r="V338" s="416"/>
      <c r="W338" s="416"/>
      <c r="X338" s="416"/>
      <c r="Y338" s="416"/>
      <c r="Z338" s="416"/>
      <c r="AA338" s="416"/>
      <c r="AB338" s="416"/>
      <c r="AC338" s="416"/>
      <c r="AD338" s="416"/>
      <c r="AE338" s="416"/>
      <c r="AF338" s="416"/>
      <c r="AG338" s="416"/>
      <c r="AH338" s="416"/>
      <c r="AI338" s="416"/>
      <c r="AJ338" s="416"/>
      <c r="AK338" s="416"/>
      <c r="AL338" s="416"/>
      <c r="AM338" s="416"/>
      <c r="AN338" s="416"/>
      <c r="AO338" s="416"/>
      <c r="AP338" s="416"/>
      <c r="AQ338" s="416"/>
      <c r="AR338" s="416"/>
      <c r="AS338" s="416"/>
      <c r="AT338" s="416"/>
    </row>
    <row r="339" spans="3:46" hidden="1" x14ac:dyDescent="0.2">
      <c r="C339" s="416"/>
      <c r="D339" s="416"/>
      <c r="E339" s="416"/>
      <c r="F339" s="416"/>
      <c r="G339" s="416"/>
      <c r="H339" s="416"/>
      <c r="I339" s="416">
        <v>25</v>
      </c>
      <c r="J339" s="416"/>
      <c r="K339" s="416"/>
      <c r="M339" s="416"/>
      <c r="N339" s="416"/>
      <c r="O339" s="416"/>
      <c r="P339" s="416"/>
      <c r="Q339" s="416"/>
      <c r="R339" s="416"/>
      <c r="S339" s="416"/>
      <c r="T339" s="416"/>
      <c r="U339" s="416"/>
      <c r="V339" s="416"/>
      <c r="W339" s="416"/>
      <c r="X339" s="416"/>
      <c r="Y339" s="416"/>
      <c r="Z339" s="416"/>
      <c r="AA339" s="416"/>
      <c r="AB339" s="416"/>
      <c r="AC339" s="416"/>
      <c r="AD339" s="416"/>
      <c r="AE339" s="416"/>
      <c r="AF339" s="416"/>
      <c r="AG339" s="416"/>
      <c r="AH339" s="416"/>
      <c r="AI339" s="416"/>
      <c r="AJ339" s="416"/>
      <c r="AK339" s="416"/>
      <c r="AL339" s="416"/>
      <c r="AM339" s="416"/>
      <c r="AN339" s="416"/>
      <c r="AO339" s="416"/>
      <c r="AP339" s="416"/>
      <c r="AQ339" s="416"/>
      <c r="AR339" s="416"/>
      <c r="AS339" s="416"/>
      <c r="AT339" s="416"/>
    </row>
    <row r="340" spans="3:46" hidden="1" x14ac:dyDescent="0.2">
      <c r="C340" s="416"/>
      <c r="D340" s="416"/>
      <c r="E340" s="416"/>
      <c r="F340" s="416"/>
      <c r="G340" s="416"/>
      <c r="H340" s="416"/>
      <c r="I340" s="416">
        <v>26</v>
      </c>
      <c r="J340" s="416"/>
      <c r="K340" s="416"/>
      <c r="M340" s="416"/>
      <c r="N340" s="416"/>
      <c r="O340" s="416"/>
      <c r="P340" s="416"/>
      <c r="Q340" s="416"/>
      <c r="R340" s="416"/>
      <c r="S340" s="416"/>
      <c r="T340" s="416"/>
      <c r="U340" s="416"/>
      <c r="V340" s="416"/>
      <c r="W340" s="416"/>
      <c r="X340" s="416"/>
      <c r="Y340" s="416"/>
      <c r="Z340" s="416"/>
      <c r="AA340" s="416"/>
      <c r="AB340" s="416"/>
      <c r="AC340" s="416"/>
      <c r="AD340" s="416"/>
      <c r="AE340" s="416"/>
      <c r="AF340" s="416"/>
      <c r="AG340" s="416"/>
      <c r="AH340" s="416"/>
      <c r="AI340" s="416"/>
      <c r="AJ340" s="416"/>
      <c r="AK340" s="416"/>
      <c r="AL340" s="416"/>
      <c r="AM340" s="416"/>
      <c r="AN340" s="416"/>
      <c r="AO340" s="416"/>
      <c r="AP340" s="416"/>
      <c r="AQ340" s="416"/>
      <c r="AR340" s="416"/>
      <c r="AS340" s="416"/>
      <c r="AT340" s="416"/>
    </row>
    <row r="341" spans="3:46" hidden="1" x14ac:dyDescent="0.2">
      <c r="C341" s="416"/>
      <c r="D341" s="416"/>
      <c r="E341" s="416"/>
      <c r="F341" s="416"/>
      <c r="G341" s="416"/>
      <c r="H341" s="416"/>
      <c r="I341" s="416">
        <v>27</v>
      </c>
      <c r="J341" s="416"/>
      <c r="K341" s="416"/>
      <c r="M341" s="416"/>
      <c r="N341" s="416"/>
      <c r="O341" s="416"/>
      <c r="P341" s="416"/>
      <c r="Q341" s="416"/>
      <c r="R341" s="416"/>
      <c r="S341" s="416"/>
      <c r="T341" s="416"/>
      <c r="U341" s="416"/>
      <c r="V341" s="416"/>
      <c r="W341" s="416"/>
      <c r="X341" s="416"/>
      <c r="Y341" s="416"/>
      <c r="Z341" s="416"/>
      <c r="AA341" s="416"/>
      <c r="AB341" s="416"/>
      <c r="AC341" s="416"/>
      <c r="AD341" s="416"/>
      <c r="AE341" s="416"/>
      <c r="AF341" s="416"/>
      <c r="AG341" s="416"/>
      <c r="AH341" s="416"/>
      <c r="AI341" s="416"/>
      <c r="AJ341" s="416"/>
      <c r="AK341" s="416"/>
      <c r="AL341" s="416"/>
      <c r="AM341" s="416"/>
      <c r="AN341" s="416"/>
      <c r="AO341" s="416"/>
      <c r="AP341" s="416"/>
      <c r="AQ341" s="416"/>
      <c r="AR341" s="416"/>
      <c r="AS341" s="416"/>
      <c r="AT341" s="416"/>
    </row>
    <row r="342" spans="3:46" hidden="1" x14ac:dyDescent="0.2">
      <c r="C342" s="416"/>
      <c r="D342" s="416"/>
      <c r="E342" s="416"/>
      <c r="F342" s="416"/>
      <c r="G342" s="416"/>
      <c r="H342" s="416"/>
      <c r="I342" s="416">
        <v>28</v>
      </c>
      <c r="J342" s="416"/>
      <c r="K342" s="416"/>
      <c r="M342" s="416"/>
      <c r="N342" s="416"/>
      <c r="O342" s="416"/>
      <c r="P342" s="416"/>
      <c r="Q342" s="416"/>
      <c r="R342" s="416"/>
      <c r="S342" s="416"/>
      <c r="T342" s="416"/>
      <c r="U342" s="416"/>
      <c r="V342" s="416"/>
      <c r="W342" s="416"/>
      <c r="X342" s="416"/>
      <c r="Y342" s="416"/>
      <c r="Z342" s="416"/>
      <c r="AA342" s="416"/>
      <c r="AB342" s="416"/>
      <c r="AC342" s="416"/>
      <c r="AD342" s="416"/>
      <c r="AE342" s="416"/>
      <c r="AF342" s="416"/>
      <c r="AG342" s="416"/>
      <c r="AH342" s="416"/>
      <c r="AI342" s="416"/>
      <c r="AJ342" s="416"/>
      <c r="AK342" s="416"/>
      <c r="AL342" s="416"/>
      <c r="AM342" s="416"/>
      <c r="AN342" s="416"/>
      <c r="AO342" s="416"/>
      <c r="AP342" s="416"/>
      <c r="AQ342" s="416"/>
      <c r="AR342" s="416"/>
      <c r="AS342" s="416"/>
      <c r="AT342" s="416"/>
    </row>
    <row r="343" spans="3:46" hidden="1" x14ac:dyDescent="0.2">
      <c r="C343" s="416"/>
      <c r="D343" s="416"/>
      <c r="E343" s="416"/>
      <c r="F343" s="416"/>
      <c r="G343" s="416"/>
      <c r="H343" s="416"/>
      <c r="I343" s="416">
        <v>29</v>
      </c>
      <c r="J343" s="416"/>
      <c r="K343" s="416"/>
      <c r="M343" s="416"/>
      <c r="N343" s="416"/>
      <c r="O343" s="416"/>
      <c r="P343" s="416"/>
      <c r="Q343" s="416"/>
      <c r="R343" s="416"/>
      <c r="S343" s="416"/>
      <c r="T343" s="416"/>
      <c r="U343" s="416"/>
      <c r="V343" s="416"/>
      <c r="W343" s="416"/>
      <c r="X343" s="416"/>
      <c r="Y343" s="416"/>
      <c r="Z343" s="416"/>
      <c r="AA343" s="416"/>
      <c r="AB343" s="416"/>
      <c r="AC343" s="416"/>
      <c r="AD343" s="416"/>
      <c r="AE343" s="416"/>
      <c r="AF343" s="416"/>
      <c r="AG343" s="416"/>
      <c r="AH343" s="416"/>
      <c r="AI343" s="416"/>
      <c r="AJ343" s="416"/>
      <c r="AK343" s="416"/>
      <c r="AL343" s="416"/>
      <c r="AM343" s="416"/>
      <c r="AN343" s="416"/>
      <c r="AO343" s="416"/>
      <c r="AP343" s="416"/>
      <c r="AQ343" s="416"/>
      <c r="AR343" s="416"/>
      <c r="AS343" s="416"/>
      <c r="AT343" s="416"/>
    </row>
    <row r="344" spans="3:46" hidden="1" x14ac:dyDescent="0.2">
      <c r="C344" s="416"/>
      <c r="D344" s="416"/>
      <c r="E344" s="416"/>
      <c r="F344" s="416"/>
      <c r="G344" s="416"/>
      <c r="H344" s="416"/>
      <c r="I344" s="416">
        <v>30</v>
      </c>
      <c r="J344" s="416"/>
      <c r="K344" s="416"/>
      <c r="M344" s="416"/>
      <c r="N344" s="416"/>
      <c r="O344" s="416"/>
      <c r="P344" s="416"/>
      <c r="Q344" s="416"/>
      <c r="R344" s="416"/>
      <c r="S344" s="416"/>
      <c r="T344" s="416"/>
      <c r="U344" s="416"/>
      <c r="V344" s="416"/>
      <c r="W344" s="416"/>
      <c r="X344" s="416"/>
      <c r="Y344" s="416"/>
      <c r="Z344" s="416"/>
      <c r="AA344" s="416"/>
      <c r="AB344" s="416"/>
      <c r="AC344" s="416"/>
      <c r="AD344" s="416"/>
      <c r="AE344" s="416"/>
      <c r="AF344" s="416"/>
      <c r="AG344" s="416"/>
      <c r="AH344" s="416"/>
      <c r="AI344" s="416"/>
      <c r="AJ344" s="416"/>
      <c r="AK344" s="416"/>
      <c r="AL344" s="416"/>
      <c r="AM344" s="416"/>
      <c r="AN344" s="416"/>
      <c r="AO344" s="416"/>
      <c r="AP344" s="416"/>
      <c r="AQ344" s="416"/>
      <c r="AR344" s="416"/>
      <c r="AS344" s="416"/>
      <c r="AT344" s="416"/>
    </row>
    <row r="345" spans="3:46" hidden="1" x14ac:dyDescent="0.2">
      <c r="C345" s="416"/>
      <c r="D345" s="416"/>
      <c r="E345" s="416"/>
      <c r="F345" s="416"/>
      <c r="G345" s="416"/>
      <c r="H345" s="416"/>
      <c r="I345" s="416">
        <v>31</v>
      </c>
      <c r="J345" s="416"/>
      <c r="K345" s="416"/>
      <c r="M345" s="416"/>
      <c r="N345" s="416"/>
      <c r="O345" s="416"/>
      <c r="P345" s="416"/>
      <c r="Q345" s="416"/>
      <c r="R345" s="416"/>
      <c r="S345" s="416"/>
      <c r="T345" s="416"/>
      <c r="U345" s="416"/>
      <c r="V345" s="416"/>
      <c r="W345" s="416"/>
      <c r="X345" s="416"/>
      <c r="Y345" s="416"/>
      <c r="Z345" s="416"/>
      <c r="AA345" s="416"/>
      <c r="AB345" s="416"/>
      <c r="AC345" s="416"/>
      <c r="AD345" s="416"/>
      <c r="AE345" s="416"/>
      <c r="AF345" s="416"/>
      <c r="AG345" s="416"/>
      <c r="AH345" s="416"/>
      <c r="AI345" s="416"/>
      <c r="AJ345" s="416"/>
      <c r="AK345" s="416"/>
      <c r="AL345" s="416"/>
      <c r="AM345" s="416"/>
      <c r="AN345" s="416"/>
      <c r="AO345" s="416"/>
      <c r="AP345" s="416"/>
      <c r="AQ345" s="416"/>
      <c r="AR345" s="416"/>
      <c r="AS345" s="416"/>
      <c r="AT345" s="416"/>
    </row>
    <row r="346" spans="3:46" hidden="1" x14ac:dyDescent="0.2">
      <c r="C346" s="416"/>
      <c r="D346" s="416"/>
      <c r="E346" s="416"/>
      <c r="F346" s="416"/>
      <c r="G346" s="416"/>
      <c r="H346" s="416"/>
      <c r="I346" s="416">
        <v>32</v>
      </c>
      <c r="J346" s="416"/>
      <c r="K346" s="416"/>
      <c r="M346" s="416"/>
      <c r="N346" s="416"/>
      <c r="O346" s="416"/>
      <c r="P346" s="416"/>
      <c r="Q346" s="416"/>
      <c r="R346" s="416"/>
      <c r="S346" s="416"/>
      <c r="T346" s="416"/>
      <c r="U346" s="416"/>
      <c r="V346" s="416"/>
      <c r="W346" s="416"/>
      <c r="X346" s="416"/>
      <c r="Y346" s="416"/>
      <c r="Z346" s="416"/>
      <c r="AA346" s="416"/>
      <c r="AB346" s="416"/>
      <c r="AC346" s="416"/>
      <c r="AD346" s="416"/>
      <c r="AE346" s="416"/>
      <c r="AF346" s="416"/>
      <c r="AG346" s="416"/>
      <c r="AH346" s="416"/>
      <c r="AI346" s="416"/>
      <c r="AJ346" s="416"/>
      <c r="AK346" s="416"/>
      <c r="AL346" s="416"/>
      <c r="AM346" s="416"/>
      <c r="AN346" s="416"/>
      <c r="AO346" s="416"/>
      <c r="AP346" s="416"/>
      <c r="AQ346" s="416"/>
      <c r="AR346" s="416"/>
      <c r="AS346" s="416"/>
      <c r="AT346" s="416"/>
    </row>
    <row r="347" spans="3:46" hidden="1" x14ac:dyDescent="0.2">
      <c r="C347" s="416"/>
      <c r="D347" s="416"/>
      <c r="E347" s="416"/>
      <c r="F347" s="416"/>
      <c r="G347" s="416"/>
      <c r="H347" s="416"/>
      <c r="I347" s="416">
        <v>33</v>
      </c>
      <c r="J347" s="416"/>
      <c r="K347" s="416"/>
      <c r="M347" s="416"/>
      <c r="N347" s="416"/>
      <c r="O347" s="416"/>
      <c r="P347" s="416"/>
      <c r="Q347" s="416"/>
      <c r="R347" s="416"/>
      <c r="S347" s="416"/>
      <c r="T347" s="416"/>
      <c r="U347" s="416"/>
      <c r="V347" s="416"/>
      <c r="W347" s="416"/>
      <c r="X347" s="416"/>
      <c r="Y347" s="416"/>
      <c r="Z347" s="416"/>
      <c r="AA347" s="416"/>
      <c r="AB347" s="416"/>
      <c r="AC347" s="416"/>
      <c r="AD347" s="416"/>
      <c r="AE347" s="416"/>
      <c r="AF347" s="416"/>
      <c r="AG347" s="416"/>
      <c r="AH347" s="416"/>
      <c r="AI347" s="416"/>
      <c r="AJ347" s="416"/>
      <c r="AK347" s="416"/>
      <c r="AL347" s="416"/>
      <c r="AM347" s="416"/>
      <c r="AN347" s="416"/>
      <c r="AO347" s="416"/>
      <c r="AP347" s="416"/>
      <c r="AQ347" s="416"/>
      <c r="AR347" s="416"/>
      <c r="AS347" s="416"/>
      <c r="AT347" s="416"/>
    </row>
    <row r="348" spans="3:46" hidden="1" x14ac:dyDescent="0.2">
      <c r="C348" s="416"/>
      <c r="D348" s="416"/>
      <c r="E348" s="416"/>
      <c r="F348" s="416"/>
      <c r="G348" s="416"/>
      <c r="H348" s="416"/>
      <c r="I348" s="416">
        <v>34</v>
      </c>
      <c r="J348" s="416"/>
      <c r="K348" s="416"/>
      <c r="M348" s="416"/>
      <c r="N348" s="416"/>
      <c r="O348" s="416"/>
      <c r="P348" s="416"/>
      <c r="Q348" s="416"/>
      <c r="R348" s="416"/>
      <c r="S348" s="416"/>
      <c r="T348" s="416"/>
      <c r="U348" s="416"/>
      <c r="V348" s="416"/>
      <c r="W348" s="416"/>
      <c r="X348" s="416"/>
      <c r="Y348" s="416"/>
      <c r="Z348" s="416"/>
      <c r="AA348" s="416"/>
      <c r="AB348" s="416"/>
      <c r="AC348" s="416"/>
      <c r="AD348" s="416"/>
      <c r="AE348" s="416"/>
      <c r="AF348" s="416"/>
      <c r="AG348" s="416"/>
      <c r="AH348" s="416"/>
      <c r="AI348" s="416"/>
      <c r="AJ348" s="416"/>
      <c r="AK348" s="416"/>
      <c r="AL348" s="416"/>
      <c r="AM348" s="416"/>
      <c r="AN348" s="416"/>
      <c r="AO348" s="416"/>
      <c r="AP348" s="416"/>
      <c r="AQ348" s="416"/>
      <c r="AR348" s="416"/>
      <c r="AS348" s="416"/>
      <c r="AT348" s="416"/>
    </row>
    <row r="349" spans="3:46" hidden="1" x14ac:dyDescent="0.2">
      <c r="C349" s="416"/>
      <c r="D349" s="416"/>
      <c r="E349" s="416"/>
      <c r="F349" s="416"/>
      <c r="G349" s="416"/>
      <c r="H349" s="416"/>
      <c r="I349" s="416">
        <v>35</v>
      </c>
      <c r="J349" s="416"/>
      <c r="K349" s="416"/>
      <c r="M349" s="416"/>
      <c r="N349" s="416"/>
      <c r="O349" s="416"/>
      <c r="P349" s="416"/>
      <c r="Q349" s="416"/>
      <c r="R349" s="416"/>
      <c r="S349" s="416"/>
      <c r="T349" s="416"/>
      <c r="U349" s="416"/>
      <c r="V349" s="416"/>
      <c r="W349" s="416"/>
      <c r="X349" s="416"/>
      <c r="Y349" s="416"/>
      <c r="Z349" s="416"/>
      <c r="AA349" s="416"/>
      <c r="AB349" s="416"/>
      <c r="AC349" s="416"/>
      <c r="AD349" s="416"/>
      <c r="AE349" s="416"/>
      <c r="AF349" s="416"/>
      <c r="AG349" s="416"/>
      <c r="AH349" s="416"/>
      <c r="AI349" s="416"/>
      <c r="AJ349" s="416"/>
      <c r="AK349" s="416"/>
      <c r="AL349" s="416"/>
      <c r="AM349" s="416"/>
      <c r="AN349" s="416"/>
      <c r="AO349" s="416"/>
      <c r="AP349" s="416"/>
      <c r="AQ349" s="416"/>
      <c r="AR349" s="416"/>
      <c r="AS349" s="416"/>
      <c r="AT349" s="416"/>
    </row>
    <row r="350" spans="3:46" hidden="1" x14ac:dyDescent="0.2">
      <c r="C350" s="416"/>
      <c r="D350" s="416"/>
      <c r="E350" s="416"/>
      <c r="F350" s="416"/>
      <c r="G350" s="416"/>
      <c r="H350" s="416"/>
      <c r="I350" s="416">
        <v>36</v>
      </c>
      <c r="J350" s="416"/>
      <c r="K350" s="416"/>
      <c r="M350" s="416"/>
      <c r="N350" s="416"/>
      <c r="O350" s="416"/>
      <c r="P350" s="416"/>
      <c r="Q350" s="416"/>
      <c r="R350" s="416"/>
      <c r="S350" s="416"/>
      <c r="T350" s="416"/>
      <c r="U350" s="416"/>
      <c r="V350" s="416"/>
      <c r="W350" s="416"/>
      <c r="X350" s="416"/>
      <c r="Y350" s="416"/>
      <c r="Z350" s="416"/>
      <c r="AA350" s="416"/>
      <c r="AB350" s="416"/>
      <c r="AC350" s="416"/>
      <c r="AD350" s="416"/>
      <c r="AE350" s="416"/>
      <c r="AF350" s="416"/>
      <c r="AG350" s="416"/>
      <c r="AH350" s="416"/>
      <c r="AI350" s="416"/>
      <c r="AJ350" s="416"/>
      <c r="AK350" s="416"/>
      <c r="AL350" s="416"/>
      <c r="AM350" s="416"/>
      <c r="AN350" s="416"/>
      <c r="AO350" s="416"/>
      <c r="AP350" s="416"/>
      <c r="AQ350" s="416"/>
      <c r="AR350" s="416"/>
      <c r="AS350" s="416"/>
      <c r="AT350" s="416"/>
    </row>
    <row r="351" spans="3:46" hidden="1" x14ac:dyDescent="0.2">
      <c r="C351" s="416"/>
      <c r="D351" s="416"/>
      <c r="E351" s="416"/>
      <c r="F351" s="416"/>
      <c r="G351" s="416"/>
      <c r="H351" s="416"/>
      <c r="I351" s="416">
        <v>37</v>
      </c>
      <c r="J351" s="416"/>
      <c r="K351" s="416"/>
      <c r="M351" s="416"/>
      <c r="N351" s="416"/>
      <c r="O351" s="416"/>
      <c r="P351" s="416"/>
      <c r="Q351" s="416"/>
      <c r="R351" s="416"/>
      <c r="S351" s="416"/>
      <c r="T351" s="416"/>
      <c r="U351" s="416"/>
      <c r="V351" s="416"/>
      <c r="W351" s="416"/>
      <c r="X351" s="416"/>
      <c r="Y351" s="416"/>
      <c r="Z351" s="416"/>
      <c r="AA351" s="416"/>
      <c r="AB351" s="416"/>
      <c r="AC351" s="416"/>
      <c r="AD351" s="416"/>
      <c r="AE351" s="416"/>
      <c r="AF351" s="416"/>
      <c r="AG351" s="416"/>
      <c r="AH351" s="416"/>
      <c r="AI351" s="416"/>
      <c r="AJ351" s="416"/>
      <c r="AK351" s="416"/>
      <c r="AL351" s="416"/>
      <c r="AM351" s="416"/>
      <c r="AN351" s="416"/>
      <c r="AO351" s="416"/>
      <c r="AP351" s="416"/>
      <c r="AQ351" s="416"/>
      <c r="AR351" s="416"/>
      <c r="AS351" s="416"/>
      <c r="AT351" s="416"/>
    </row>
    <row r="352" spans="3:46" hidden="1" x14ac:dyDescent="0.2">
      <c r="C352" s="416"/>
      <c r="D352" s="416"/>
      <c r="E352" s="416"/>
      <c r="F352" s="416"/>
      <c r="G352" s="416"/>
      <c r="H352" s="416"/>
      <c r="I352" s="416">
        <v>38</v>
      </c>
      <c r="J352" s="416"/>
      <c r="K352" s="416"/>
      <c r="M352" s="416"/>
      <c r="N352" s="416"/>
      <c r="O352" s="416"/>
      <c r="P352" s="416"/>
      <c r="Q352" s="416"/>
      <c r="R352" s="416"/>
      <c r="S352" s="416"/>
      <c r="T352" s="416"/>
      <c r="U352" s="416"/>
      <c r="V352" s="416"/>
      <c r="W352" s="416"/>
      <c r="X352" s="416"/>
      <c r="Y352" s="416"/>
      <c r="Z352" s="416"/>
      <c r="AA352" s="416"/>
      <c r="AB352" s="416"/>
      <c r="AC352" s="416"/>
      <c r="AD352" s="416"/>
      <c r="AE352" s="416"/>
      <c r="AF352" s="416"/>
      <c r="AG352" s="416"/>
      <c r="AH352" s="416"/>
      <c r="AI352" s="416"/>
      <c r="AJ352" s="416"/>
      <c r="AK352" s="416"/>
      <c r="AL352" s="416"/>
      <c r="AM352" s="416"/>
      <c r="AN352" s="416"/>
      <c r="AO352" s="416"/>
      <c r="AP352" s="416"/>
      <c r="AQ352" s="416"/>
      <c r="AR352" s="416"/>
      <c r="AS352" s="416"/>
      <c r="AT352" s="416"/>
    </row>
    <row r="353" spans="3:46" hidden="1" x14ac:dyDescent="0.2">
      <c r="C353" s="416"/>
      <c r="D353" s="416"/>
      <c r="E353" s="416"/>
      <c r="F353" s="416"/>
      <c r="G353" s="416"/>
      <c r="H353" s="416"/>
      <c r="I353" s="416">
        <v>39</v>
      </c>
      <c r="J353" s="416"/>
      <c r="K353" s="416"/>
      <c r="M353" s="416"/>
      <c r="N353" s="416"/>
      <c r="O353" s="416"/>
      <c r="P353" s="416"/>
      <c r="Q353" s="416"/>
      <c r="R353" s="416"/>
      <c r="S353" s="416"/>
      <c r="T353" s="416"/>
      <c r="U353" s="416"/>
      <c r="V353" s="416"/>
      <c r="W353" s="416"/>
      <c r="X353" s="416"/>
      <c r="Y353" s="416"/>
      <c r="Z353" s="416"/>
      <c r="AA353" s="416"/>
      <c r="AB353" s="416"/>
      <c r="AC353" s="416"/>
      <c r="AD353" s="416"/>
      <c r="AE353" s="416"/>
      <c r="AF353" s="416"/>
      <c r="AG353" s="416"/>
      <c r="AH353" s="416"/>
      <c r="AI353" s="416"/>
      <c r="AJ353" s="416"/>
      <c r="AK353" s="416"/>
      <c r="AL353" s="416"/>
      <c r="AM353" s="416"/>
      <c r="AN353" s="416"/>
      <c r="AO353" s="416"/>
      <c r="AP353" s="416"/>
      <c r="AQ353" s="416"/>
      <c r="AR353" s="416"/>
      <c r="AS353" s="416"/>
      <c r="AT353" s="416"/>
    </row>
    <row r="354" spans="3:46" hidden="1" x14ac:dyDescent="0.2">
      <c r="C354" s="416"/>
      <c r="D354" s="416"/>
      <c r="E354" s="416"/>
      <c r="F354" s="416"/>
      <c r="G354" s="416"/>
      <c r="H354" s="416"/>
      <c r="I354" s="416">
        <v>40</v>
      </c>
      <c r="J354" s="416"/>
      <c r="K354" s="416"/>
      <c r="M354" s="416"/>
      <c r="N354" s="416"/>
      <c r="O354" s="416"/>
      <c r="P354" s="416"/>
      <c r="Q354" s="416"/>
      <c r="R354" s="416"/>
      <c r="S354" s="416"/>
      <c r="T354" s="416"/>
      <c r="U354" s="416"/>
      <c r="V354" s="416"/>
      <c r="W354" s="416"/>
      <c r="X354" s="416"/>
      <c r="Y354" s="416"/>
      <c r="Z354" s="416"/>
      <c r="AA354" s="416"/>
      <c r="AB354" s="416"/>
      <c r="AC354" s="416"/>
      <c r="AD354" s="416"/>
      <c r="AE354" s="416"/>
      <c r="AF354" s="416"/>
      <c r="AG354" s="416"/>
      <c r="AH354" s="416"/>
      <c r="AI354" s="416"/>
      <c r="AJ354" s="416"/>
      <c r="AK354" s="416"/>
      <c r="AL354" s="416"/>
      <c r="AM354" s="416"/>
      <c r="AN354" s="416"/>
      <c r="AO354" s="416"/>
      <c r="AP354" s="416"/>
      <c r="AQ354" s="416"/>
      <c r="AR354" s="416"/>
      <c r="AS354" s="416"/>
      <c r="AT354" s="416"/>
    </row>
    <row r="355" spans="3:46" hidden="1" x14ac:dyDescent="0.2">
      <c r="C355" s="416"/>
      <c r="D355" s="416"/>
      <c r="E355" s="416"/>
      <c r="F355" s="416"/>
      <c r="G355" s="416"/>
      <c r="H355" s="416"/>
      <c r="I355" s="416">
        <v>41</v>
      </c>
      <c r="J355" s="416"/>
      <c r="K355" s="416"/>
      <c r="M355" s="416"/>
      <c r="N355" s="416"/>
      <c r="O355" s="416"/>
      <c r="P355" s="416"/>
      <c r="Q355" s="416"/>
      <c r="R355" s="416"/>
      <c r="S355" s="416"/>
      <c r="T355" s="416"/>
      <c r="U355" s="416"/>
      <c r="V355" s="416"/>
      <c r="W355" s="416"/>
      <c r="X355" s="416"/>
      <c r="Y355" s="416"/>
      <c r="Z355" s="416"/>
      <c r="AA355" s="416"/>
      <c r="AB355" s="416"/>
      <c r="AC355" s="416"/>
      <c r="AD355" s="416"/>
      <c r="AE355" s="416"/>
      <c r="AF355" s="416"/>
      <c r="AG355" s="416"/>
      <c r="AH355" s="416"/>
      <c r="AI355" s="416"/>
      <c r="AJ355" s="416"/>
      <c r="AK355" s="416"/>
      <c r="AL355" s="416"/>
      <c r="AM355" s="416"/>
      <c r="AN355" s="416"/>
      <c r="AO355" s="416"/>
      <c r="AP355" s="416"/>
      <c r="AQ355" s="416"/>
      <c r="AR355" s="416"/>
      <c r="AS355" s="416"/>
      <c r="AT355" s="416"/>
    </row>
    <row r="356" spans="3:46" hidden="1" x14ac:dyDescent="0.2">
      <c r="C356" s="416"/>
      <c r="D356" s="416"/>
      <c r="E356" s="416"/>
      <c r="F356" s="416"/>
      <c r="G356" s="416"/>
      <c r="H356" s="416"/>
      <c r="I356" s="416">
        <v>42</v>
      </c>
      <c r="J356" s="416"/>
      <c r="K356" s="416"/>
      <c r="M356" s="416"/>
      <c r="N356" s="416"/>
      <c r="O356" s="416"/>
      <c r="P356" s="416"/>
      <c r="Q356" s="416"/>
      <c r="R356" s="416"/>
      <c r="S356" s="416"/>
      <c r="T356" s="416"/>
      <c r="U356" s="416"/>
      <c r="V356" s="416"/>
      <c r="W356" s="416"/>
      <c r="X356" s="416"/>
      <c r="Y356" s="416"/>
      <c r="Z356" s="416"/>
      <c r="AA356" s="416"/>
      <c r="AB356" s="416"/>
      <c r="AC356" s="416"/>
      <c r="AD356" s="416"/>
      <c r="AE356" s="416"/>
      <c r="AF356" s="416"/>
      <c r="AG356" s="416"/>
      <c r="AH356" s="416"/>
      <c r="AI356" s="416"/>
      <c r="AJ356" s="416"/>
      <c r="AK356" s="416"/>
      <c r="AL356" s="416"/>
      <c r="AM356" s="416"/>
      <c r="AN356" s="416"/>
      <c r="AO356" s="416"/>
      <c r="AP356" s="416"/>
      <c r="AQ356" s="416"/>
      <c r="AR356" s="416"/>
      <c r="AS356" s="416"/>
      <c r="AT356" s="416"/>
    </row>
    <row r="357" spans="3:46" hidden="1" x14ac:dyDescent="0.2">
      <c r="C357" s="416"/>
      <c r="D357" s="416"/>
      <c r="E357" s="416"/>
      <c r="F357" s="416"/>
      <c r="G357" s="416"/>
      <c r="H357" s="416"/>
      <c r="I357" s="416">
        <v>43</v>
      </c>
      <c r="J357" s="416"/>
      <c r="K357" s="416"/>
      <c r="M357" s="416"/>
      <c r="N357" s="416"/>
      <c r="O357" s="416"/>
      <c r="P357" s="416"/>
      <c r="Q357" s="416"/>
      <c r="R357" s="416"/>
      <c r="S357" s="416"/>
      <c r="T357" s="416"/>
      <c r="U357" s="416"/>
      <c r="V357" s="416"/>
      <c r="W357" s="416"/>
      <c r="X357" s="416"/>
      <c r="Y357" s="416"/>
      <c r="Z357" s="416"/>
      <c r="AA357" s="416"/>
      <c r="AB357" s="416"/>
      <c r="AC357" s="416"/>
      <c r="AD357" s="416"/>
      <c r="AE357" s="416"/>
      <c r="AF357" s="416"/>
      <c r="AG357" s="416"/>
      <c r="AH357" s="416"/>
      <c r="AI357" s="416"/>
      <c r="AJ357" s="416"/>
      <c r="AK357" s="416"/>
      <c r="AL357" s="416"/>
      <c r="AM357" s="416"/>
      <c r="AN357" s="416"/>
      <c r="AO357" s="416"/>
      <c r="AP357" s="416"/>
      <c r="AQ357" s="416"/>
      <c r="AR357" s="416"/>
      <c r="AS357" s="416"/>
      <c r="AT357" s="416"/>
    </row>
    <row r="358" spans="3:46" hidden="1" x14ac:dyDescent="0.2">
      <c r="C358" s="416"/>
      <c r="D358" s="416"/>
      <c r="E358" s="416"/>
      <c r="F358" s="416"/>
      <c r="G358" s="416"/>
      <c r="H358" s="416"/>
      <c r="I358" s="416">
        <v>44</v>
      </c>
      <c r="J358" s="416"/>
      <c r="K358" s="416"/>
      <c r="M358" s="416"/>
      <c r="N358" s="416"/>
      <c r="O358" s="416"/>
      <c r="P358" s="416"/>
      <c r="Q358" s="416"/>
      <c r="R358" s="416"/>
      <c r="S358" s="416"/>
      <c r="T358" s="416"/>
      <c r="U358" s="416"/>
      <c r="V358" s="416"/>
      <c r="W358" s="416"/>
      <c r="X358" s="416"/>
      <c r="Y358" s="416"/>
      <c r="Z358" s="416"/>
      <c r="AA358" s="416"/>
      <c r="AB358" s="416"/>
      <c r="AC358" s="416"/>
      <c r="AD358" s="416"/>
      <c r="AE358" s="416"/>
      <c r="AF358" s="416"/>
      <c r="AG358" s="416"/>
      <c r="AH358" s="416"/>
      <c r="AI358" s="416"/>
      <c r="AJ358" s="416"/>
      <c r="AK358" s="416"/>
      <c r="AL358" s="416"/>
      <c r="AM358" s="416"/>
      <c r="AN358" s="416"/>
      <c r="AO358" s="416"/>
      <c r="AP358" s="416"/>
      <c r="AQ358" s="416"/>
      <c r="AR358" s="416"/>
      <c r="AS358" s="416"/>
      <c r="AT358" s="416"/>
    </row>
    <row r="359" spans="3:46" hidden="1" x14ac:dyDescent="0.2">
      <c r="C359" s="416"/>
      <c r="D359" s="416"/>
      <c r="E359" s="416"/>
      <c r="F359" s="416"/>
      <c r="G359" s="416"/>
      <c r="H359" s="416"/>
      <c r="I359" s="416">
        <v>45</v>
      </c>
      <c r="J359" s="416"/>
      <c r="K359" s="416"/>
      <c r="M359" s="416"/>
      <c r="N359" s="416"/>
      <c r="O359" s="416"/>
      <c r="P359" s="416"/>
      <c r="Q359" s="416"/>
      <c r="R359" s="416"/>
      <c r="S359" s="416"/>
      <c r="T359" s="416"/>
      <c r="U359" s="416"/>
      <c r="V359" s="416"/>
      <c r="W359" s="416"/>
      <c r="X359" s="416"/>
      <c r="Y359" s="416"/>
      <c r="Z359" s="416"/>
      <c r="AA359" s="416"/>
      <c r="AB359" s="416"/>
      <c r="AC359" s="416"/>
      <c r="AD359" s="416"/>
      <c r="AE359" s="416"/>
      <c r="AF359" s="416"/>
      <c r="AG359" s="416"/>
      <c r="AH359" s="416"/>
      <c r="AI359" s="416"/>
      <c r="AJ359" s="416"/>
      <c r="AK359" s="416"/>
      <c r="AL359" s="416"/>
      <c r="AM359" s="416"/>
      <c r="AN359" s="416"/>
      <c r="AO359" s="416"/>
      <c r="AP359" s="416"/>
      <c r="AQ359" s="416"/>
      <c r="AR359" s="416"/>
      <c r="AS359" s="416"/>
      <c r="AT359" s="416"/>
    </row>
    <row r="360" spans="3:46" hidden="1" x14ac:dyDescent="0.2">
      <c r="C360" s="416"/>
      <c r="D360" s="416"/>
      <c r="E360" s="416"/>
      <c r="F360" s="416"/>
      <c r="G360" s="416"/>
      <c r="H360" s="416"/>
      <c r="I360" s="416">
        <v>46</v>
      </c>
      <c r="J360" s="416"/>
      <c r="K360" s="416"/>
      <c r="M360" s="416"/>
      <c r="N360" s="416"/>
      <c r="O360" s="416"/>
      <c r="P360" s="416"/>
      <c r="Q360" s="416"/>
      <c r="R360" s="416"/>
      <c r="S360" s="416"/>
      <c r="T360" s="416"/>
      <c r="U360" s="416"/>
      <c r="V360" s="416"/>
      <c r="W360" s="416"/>
      <c r="X360" s="416"/>
      <c r="Y360" s="416"/>
      <c r="Z360" s="416"/>
      <c r="AA360" s="416"/>
      <c r="AB360" s="416"/>
      <c r="AC360" s="416"/>
      <c r="AD360" s="416"/>
      <c r="AE360" s="416"/>
      <c r="AF360" s="416"/>
      <c r="AG360" s="416"/>
      <c r="AH360" s="416"/>
      <c r="AI360" s="416"/>
      <c r="AJ360" s="416"/>
      <c r="AK360" s="416"/>
      <c r="AL360" s="416"/>
      <c r="AM360" s="416"/>
      <c r="AN360" s="416"/>
      <c r="AO360" s="416"/>
      <c r="AP360" s="416"/>
      <c r="AQ360" s="416"/>
      <c r="AR360" s="416"/>
      <c r="AS360" s="416"/>
      <c r="AT360" s="416"/>
    </row>
    <row r="361" spans="3:46" hidden="1" x14ac:dyDescent="0.2">
      <c r="C361" s="416"/>
      <c r="D361" s="416"/>
      <c r="E361" s="416"/>
      <c r="F361" s="416"/>
      <c r="G361" s="416"/>
      <c r="H361" s="416"/>
      <c r="I361" s="416">
        <v>47</v>
      </c>
      <c r="J361" s="416"/>
      <c r="K361" s="416"/>
      <c r="M361" s="416"/>
      <c r="N361" s="416"/>
      <c r="O361" s="416"/>
      <c r="P361" s="416"/>
      <c r="Q361" s="416"/>
      <c r="R361" s="416"/>
      <c r="S361" s="416"/>
      <c r="T361" s="416"/>
      <c r="U361" s="416"/>
      <c r="V361" s="416"/>
      <c r="W361" s="416"/>
      <c r="X361" s="416"/>
      <c r="Y361" s="416"/>
      <c r="Z361" s="416"/>
      <c r="AA361" s="416"/>
      <c r="AB361" s="416"/>
      <c r="AC361" s="416"/>
      <c r="AD361" s="416"/>
      <c r="AE361" s="416"/>
      <c r="AF361" s="416"/>
      <c r="AG361" s="416"/>
      <c r="AH361" s="416"/>
      <c r="AI361" s="416"/>
      <c r="AJ361" s="416"/>
      <c r="AK361" s="416"/>
      <c r="AL361" s="416"/>
      <c r="AM361" s="416"/>
      <c r="AN361" s="416"/>
      <c r="AO361" s="416"/>
      <c r="AP361" s="416"/>
      <c r="AQ361" s="416"/>
      <c r="AR361" s="416"/>
      <c r="AS361" s="416"/>
      <c r="AT361" s="416"/>
    </row>
    <row r="362" spans="3:46" hidden="1" x14ac:dyDescent="0.2">
      <c r="C362" s="416"/>
      <c r="D362" s="416"/>
      <c r="E362" s="416"/>
      <c r="F362" s="416"/>
      <c r="G362" s="416"/>
      <c r="H362" s="416"/>
      <c r="I362" s="416">
        <v>48</v>
      </c>
      <c r="J362" s="416"/>
      <c r="K362" s="416"/>
      <c r="M362" s="416"/>
      <c r="N362" s="416"/>
      <c r="O362" s="416"/>
      <c r="P362" s="416"/>
      <c r="Q362" s="416"/>
      <c r="R362" s="416"/>
      <c r="S362" s="416"/>
      <c r="T362" s="416"/>
      <c r="U362" s="416"/>
      <c r="V362" s="416"/>
      <c r="W362" s="416"/>
      <c r="X362" s="416"/>
      <c r="Y362" s="416"/>
      <c r="Z362" s="416"/>
      <c r="AA362" s="416"/>
      <c r="AB362" s="416"/>
      <c r="AC362" s="416"/>
      <c r="AD362" s="416"/>
      <c r="AE362" s="416"/>
      <c r="AF362" s="416"/>
      <c r="AG362" s="416"/>
      <c r="AH362" s="416"/>
      <c r="AI362" s="416"/>
      <c r="AJ362" s="416"/>
      <c r="AK362" s="416"/>
      <c r="AL362" s="416"/>
      <c r="AM362" s="416"/>
      <c r="AN362" s="416"/>
      <c r="AO362" s="416"/>
      <c r="AP362" s="416"/>
      <c r="AQ362" s="416"/>
      <c r="AR362" s="416"/>
      <c r="AS362" s="416"/>
      <c r="AT362" s="416"/>
    </row>
    <row r="363" spans="3:46" hidden="1" x14ac:dyDescent="0.2">
      <c r="C363" s="416"/>
      <c r="D363" s="416"/>
      <c r="E363" s="416"/>
      <c r="F363" s="416"/>
      <c r="G363" s="416"/>
      <c r="H363" s="416"/>
      <c r="I363" s="416">
        <v>49</v>
      </c>
      <c r="J363" s="416"/>
      <c r="K363" s="416"/>
      <c r="M363" s="416"/>
      <c r="N363" s="416"/>
      <c r="O363" s="416"/>
      <c r="P363" s="416"/>
      <c r="Q363" s="416"/>
      <c r="R363" s="416"/>
      <c r="S363" s="416"/>
      <c r="T363" s="416"/>
      <c r="U363" s="416"/>
      <c r="V363" s="416"/>
      <c r="W363" s="416"/>
      <c r="X363" s="416"/>
      <c r="Y363" s="416"/>
      <c r="Z363" s="416"/>
      <c r="AA363" s="416"/>
      <c r="AB363" s="416"/>
      <c r="AC363" s="416"/>
      <c r="AD363" s="416"/>
      <c r="AE363" s="416"/>
      <c r="AF363" s="416"/>
      <c r="AG363" s="416"/>
      <c r="AH363" s="416"/>
      <c r="AI363" s="416"/>
      <c r="AJ363" s="416"/>
      <c r="AK363" s="416"/>
      <c r="AL363" s="416"/>
      <c r="AM363" s="416"/>
      <c r="AN363" s="416"/>
      <c r="AO363" s="416"/>
      <c r="AP363" s="416"/>
      <c r="AQ363" s="416"/>
      <c r="AR363" s="416"/>
      <c r="AS363" s="416"/>
      <c r="AT363" s="416"/>
    </row>
    <row r="364" spans="3:46" hidden="1" x14ac:dyDescent="0.2">
      <c r="C364" s="416"/>
      <c r="D364" s="416"/>
      <c r="E364" s="416"/>
      <c r="F364" s="416"/>
      <c r="G364" s="416"/>
      <c r="H364" s="416"/>
      <c r="I364" s="416">
        <v>50</v>
      </c>
      <c r="J364" s="416"/>
      <c r="K364" s="416"/>
      <c r="M364" s="416"/>
      <c r="N364" s="416"/>
      <c r="O364" s="416"/>
      <c r="P364" s="416"/>
      <c r="Q364" s="416"/>
      <c r="R364" s="416"/>
      <c r="S364" s="416"/>
      <c r="T364" s="416"/>
      <c r="U364" s="416"/>
      <c r="V364" s="416"/>
      <c r="W364" s="416"/>
      <c r="X364" s="416"/>
      <c r="Y364" s="416"/>
      <c r="Z364" s="416"/>
      <c r="AA364" s="416"/>
      <c r="AB364" s="416"/>
      <c r="AC364" s="416"/>
      <c r="AD364" s="416"/>
      <c r="AE364" s="416"/>
      <c r="AF364" s="416"/>
      <c r="AG364" s="416"/>
      <c r="AH364" s="416"/>
      <c r="AI364" s="416"/>
      <c r="AJ364" s="416"/>
      <c r="AK364" s="416"/>
      <c r="AL364" s="416"/>
      <c r="AM364" s="416"/>
      <c r="AN364" s="416"/>
      <c r="AO364" s="416"/>
      <c r="AP364" s="416"/>
      <c r="AQ364" s="416"/>
      <c r="AR364" s="416"/>
      <c r="AS364" s="416"/>
      <c r="AT364" s="416"/>
    </row>
    <row r="365" spans="3:46" hidden="1" x14ac:dyDescent="0.2">
      <c r="C365" s="416"/>
      <c r="D365" s="416"/>
      <c r="E365" s="416"/>
      <c r="F365" s="416"/>
      <c r="G365" s="416"/>
      <c r="H365" s="416"/>
      <c r="I365" s="416">
        <v>51</v>
      </c>
      <c r="J365" s="416"/>
      <c r="K365" s="416"/>
      <c r="M365" s="416"/>
      <c r="N365" s="416"/>
      <c r="O365" s="416"/>
      <c r="P365" s="416"/>
      <c r="Q365" s="416"/>
      <c r="R365" s="416"/>
      <c r="S365" s="416"/>
      <c r="T365" s="416"/>
      <c r="U365" s="416"/>
      <c r="V365" s="416"/>
      <c r="W365" s="416"/>
      <c r="X365" s="416"/>
      <c r="Y365" s="416"/>
      <c r="Z365" s="416"/>
      <c r="AA365" s="416"/>
      <c r="AB365" s="416"/>
      <c r="AC365" s="416"/>
      <c r="AD365" s="416"/>
      <c r="AE365" s="416"/>
      <c r="AF365" s="416"/>
      <c r="AG365" s="416"/>
      <c r="AH365" s="416"/>
      <c r="AI365" s="416"/>
      <c r="AJ365" s="416"/>
      <c r="AK365" s="416"/>
      <c r="AL365" s="416"/>
      <c r="AM365" s="416"/>
      <c r="AN365" s="416"/>
      <c r="AO365" s="416"/>
      <c r="AP365" s="416"/>
      <c r="AQ365" s="416"/>
      <c r="AR365" s="416"/>
      <c r="AS365" s="416"/>
      <c r="AT365" s="416"/>
    </row>
    <row r="366" spans="3:46" hidden="1" x14ac:dyDescent="0.2">
      <c r="C366" s="416"/>
      <c r="D366" s="416"/>
      <c r="E366" s="416"/>
      <c r="F366" s="416"/>
      <c r="G366" s="416"/>
      <c r="H366" s="416"/>
      <c r="I366" s="416">
        <v>52</v>
      </c>
      <c r="J366" s="416"/>
      <c r="K366" s="416"/>
      <c r="M366" s="416"/>
      <c r="N366" s="416"/>
      <c r="O366" s="416"/>
      <c r="P366" s="416"/>
      <c r="Q366" s="416"/>
      <c r="R366" s="416"/>
      <c r="S366" s="416"/>
      <c r="T366" s="416"/>
      <c r="U366" s="416"/>
      <c r="V366" s="416"/>
      <c r="W366" s="416"/>
      <c r="X366" s="416"/>
      <c r="Y366" s="416"/>
      <c r="Z366" s="416"/>
      <c r="AA366" s="416"/>
      <c r="AB366" s="416"/>
      <c r="AC366" s="416"/>
      <c r="AD366" s="416"/>
      <c r="AE366" s="416"/>
      <c r="AF366" s="416"/>
      <c r="AG366" s="416"/>
      <c r="AH366" s="416"/>
      <c r="AI366" s="416"/>
      <c r="AJ366" s="416"/>
      <c r="AK366" s="416"/>
      <c r="AL366" s="416"/>
      <c r="AM366" s="416"/>
      <c r="AN366" s="416"/>
      <c r="AO366" s="416"/>
      <c r="AP366" s="416"/>
      <c r="AQ366" s="416"/>
      <c r="AR366" s="416"/>
      <c r="AS366" s="416"/>
      <c r="AT366" s="416"/>
    </row>
    <row r="367" spans="3:46" hidden="1" x14ac:dyDescent="0.2">
      <c r="C367" s="416"/>
      <c r="D367" s="416"/>
      <c r="E367" s="416"/>
      <c r="F367" s="416"/>
      <c r="G367" s="416"/>
      <c r="H367" s="416"/>
      <c r="I367" s="416">
        <v>53</v>
      </c>
      <c r="J367" s="416"/>
      <c r="K367" s="416"/>
      <c r="M367" s="416"/>
      <c r="N367" s="416"/>
      <c r="O367" s="416"/>
      <c r="P367" s="416"/>
      <c r="Q367" s="416"/>
      <c r="R367" s="416"/>
      <c r="S367" s="416"/>
      <c r="T367" s="416"/>
      <c r="U367" s="416"/>
      <c r="V367" s="416"/>
      <c r="W367" s="416"/>
      <c r="X367" s="416"/>
      <c r="Y367" s="416"/>
      <c r="Z367" s="416"/>
      <c r="AA367" s="416"/>
      <c r="AB367" s="416"/>
      <c r="AC367" s="416"/>
      <c r="AD367" s="416"/>
      <c r="AE367" s="416"/>
      <c r="AF367" s="416"/>
      <c r="AG367" s="416"/>
      <c r="AH367" s="416"/>
      <c r="AI367" s="416"/>
      <c r="AJ367" s="416"/>
      <c r="AK367" s="416"/>
      <c r="AL367" s="416"/>
      <c r="AM367" s="416"/>
      <c r="AN367" s="416"/>
      <c r="AO367" s="416"/>
      <c r="AP367" s="416"/>
      <c r="AQ367" s="416"/>
      <c r="AR367" s="416"/>
      <c r="AS367" s="416"/>
      <c r="AT367" s="416"/>
    </row>
    <row r="368" spans="3:46" hidden="1" x14ac:dyDescent="0.2">
      <c r="C368" s="416"/>
      <c r="D368" s="416"/>
      <c r="E368" s="416"/>
      <c r="F368" s="416"/>
      <c r="G368" s="416"/>
      <c r="H368" s="416"/>
      <c r="I368" s="416">
        <v>54</v>
      </c>
      <c r="J368" s="416"/>
      <c r="K368" s="416"/>
      <c r="M368" s="416"/>
      <c r="N368" s="416"/>
      <c r="O368" s="416"/>
      <c r="P368" s="416"/>
      <c r="Q368" s="416"/>
      <c r="R368" s="416"/>
      <c r="S368" s="416"/>
      <c r="T368" s="416"/>
      <c r="U368" s="416"/>
      <c r="V368" s="416"/>
      <c r="W368" s="416"/>
      <c r="X368" s="416"/>
      <c r="Y368" s="416"/>
      <c r="Z368" s="416"/>
      <c r="AA368" s="416"/>
      <c r="AB368" s="416"/>
      <c r="AC368" s="416"/>
      <c r="AD368" s="416"/>
      <c r="AE368" s="416"/>
      <c r="AF368" s="416"/>
      <c r="AG368" s="416"/>
      <c r="AH368" s="416"/>
      <c r="AI368" s="416"/>
      <c r="AJ368" s="416"/>
      <c r="AK368" s="416"/>
      <c r="AL368" s="416"/>
      <c r="AM368" s="416"/>
      <c r="AN368" s="416"/>
      <c r="AO368" s="416"/>
      <c r="AP368" s="416"/>
      <c r="AQ368" s="416"/>
      <c r="AR368" s="416"/>
      <c r="AS368" s="416"/>
      <c r="AT368" s="416"/>
    </row>
    <row r="369" spans="3:46" hidden="1" x14ac:dyDescent="0.2">
      <c r="C369" s="416"/>
      <c r="D369" s="416"/>
      <c r="E369" s="416"/>
      <c r="F369" s="416"/>
      <c r="G369" s="416"/>
      <c r="H369" s="416"/>
      <c r="I369" s="416">
        <v>55</v>
      </c>
      <c r="J369" s="416"/>
      <c r="K369" s="416"/>
      <c r="M369" s="416"/>
      <c r="N369" s="416"/>
      <c r="O369" s="416"/>
      <c r="P369" s="416"/>
      <c r="Q369" s="416"/>
      <c r="R369" s="416"/>
      <c r="S369" s="416"/>
      <c r="T369" s="416"/>
      <c r="U369" s="416"/>
      <c r="V369" s="416"/>
      <c r="W369" s="416"/>
      <c r="X369" s="416"/>
      <c r="Y369" s="416"/>
      <c r="Z369" s="416"/>
      <c r="AA369" s="416"/>
      <c r="AB369" s="416"/>
      <c r="AC369" s="416"/>
      <c r="AD369" s="416"/>
      <c r="AE369" s="416"/>
      <c r="AF369" s="416"/>
      <c r="AG369" s="416"/>
      <c r="AH369" s="416"/>
      <c r="AI369" s="416"/>
      <c r="AJ369" s="416"/>
      <c r="AK369" s="416"/>
      <c r="AL369" s="416"/>
      <c r="AM369" s="416"/>
      <c r="AN369" s="416"/>
      <c r="AO369" s="416"/>
      <c r="AP369" s="416"/>
      <c r="AQ369" s="416"/>
      <c r="AR369" s="416"/>
      <c r="AS369" s="416"/>
      <c r="AT369" s="416"/>
    </row>
    <row r="370" spans="3:46" hidden="1" x14ac:dyDescent="0.2">
      <c r="C370" s="416"/>
      <c r="D370" s="416"/>
      <c r="E370" s="416"/>
      <c r="F370" s="416"/>
      <c r="G370" s="416"/>
      <c r="H370" s="416"/>
      <c r="I370" s="416">
        <v>56</v>
      </c>
      <c r="J370" s="416"/>
      <c r="K370" s="416"/>
      <c r="M370" s="416"/>
      <c r="N370" s="416"/>
      <c r="O370" s="416"/>
      <c r="P370" s="416"/>
      <c r="Q370" s="416"/>
      <c r="R370" s="416"/>
      <c r="S370" s="416"/>
      <c r="T370" s="416"/>
      <c r="U370" s="416"/>
      <c r="V370" s="416"/>
      <c r="W370" s="416"/>
      <c r="X370" s="416"/>
      <c r="Y370" s="416"/>
      <c r="Z370" s="416"/>
      <c r="AA370" s="416"/>
      <c r="AB370" s="416"/>
      <c r="AC370" s="416"/>
      <c r="AD370" s="416"/>
      <c r="AE370" s="416"/>
      <c r="AF370" s="416"/>
      <c r="AG370" s="416"/>
      <c r="AH370" s="416"/>
      <c r="AI370" s="416"/>
      <c r="AJ370" s="416"/>
      <c r="AK370" s="416"/>
      <c r="AL370" s="416"/>
      <c r="AM370" s="416"/>
      <c r="AN370" s="416"/>
      <c r="AO370" s="416"/>
      <c r="AP370" s="416"/>
      <c r="AQ370" s="416"/>
      <c r="AR370" s="416"/>
      <c r="AS370" s="416"/>
      <c r="AT370" s="416"/>
    </row>
    <row r="371" spans="3:46" hidden="1" x14ac:dyDescent="0.2">
      <c r="C371" s="416"/>
      <c r="D371" s="416"/>
      <c r="E371" s="416"/>
      <c r="F371" s="416"/>
      <c r="G371" s="416"/>
      <c r="H371" s="416"/>
      <c r="I371" s="416">
        <v>57</v>
      </c>
      <c r="J371" s="416"/>
      <c r="K371" s="416"/>
      <c r="M371" s="416"/>
      <c r="N371" s="416"/>
      <c r="O371" s="416"/>
      <c r="P371" s="416"/>
      <c r="Q371" s="416"/>
      <c r="R371" s="416"/>
      <c r="S371" s="416"/>
      <c r="T371" s="416"/>
      <c r="U371" s="416"/>
      <c r="V371" s="416"/>
      <c r="W371" s="416"/>
      <c r="X371" s="416"/>
      <c r="Y371" s="416"/>
      <c r="Z371" s="416"/>
      <c r="AA371" s="416"/>
      <c r="AB371" s="416"/>
      <c r="AC371" s="416"/>
      <c r="AD371" s="416"/>
      <c r="AE371" s="416"/>
      <c r="AF371" s="416"/>
      <c r="AG371" s="416"/>
      <c r="AH371" s="416"/>
      <c r="AI371" s="416"/>
      <c r="AJ371" s="416"/>
      <c r="AK371" s="416"/>
      <c r="AL371" s="416"/>
      <c r="AM371" s="416"/>
      <c r="AN371" s="416"/>
      <c r="AO371" s="416"/>
      <c r="AP371" s="416"/>
      <c r="AQ371" s="416"/>
      <c r="AR371" s="416"/>
      <c r="AS371" s="416"/>
      <c r="AT371" s="416"/>
    </row>
    <row r="372" spans="3:46" hidden="1" x14ac:dyDescent="0.2">
      <c r="C372" s="416"/>
      <c r="D372" s="416"/>
      <c r="E372" s="416"/>
      <c r="F372" s="416"/>
      <c r="G372" s="416"/>
      <c r="H372" s="416"/>
      <c r="I372" s="416">
        <v>58</v>
      </c>
      <c r="J372" s="416"/>
      <c r="K372" s="416"/>
      <c r="M372" s="416"/>
      <c r="N372" s="416"/>
      <c r="O372" s="416"/>
      <c r="P372" s="416"/>
      <c r="Q372" s="416"/>
      <c r="R372" s="416"/>
      <c r="S372" s="416"/>
      <c r="T372" s="416"/>
      <c r="U372" s="416"/>
      <c r="V372" s="416"/>
      <c r="W372" s="416"/>
      <c r="X372" s="416"/>
      <c r="Y372" s="416"/>
      <c r="Z372" s="416"/>
      <c r="AA372" s="416"/>
      <c r="AB372" s="416"/>
      <c r="AC372" s="416"/>
      <c r="AD372" s="416"/>
      <c r="AE372" s="416"/>
      <c r="AF372" s="416"/>
      <c r="AG372" s="416"/>
      <c r="AH372" s="416"/>
      <c r="AI372" s="416"/>
      <c r="AJ372" s="416"/>
      <c r="AK372" s="416"/>
      <c r="AL372" s="416"/>
      <c r="AM372" s="416"/>
      <c r="AN372" s="416"/>
      <c r="AO372" s="416"/>
      <c r="AP372" s="416"/>
      <c r="AQ372" s="416"/>
      <c r="AR372" s="416"/>
      <c r="AS372" s="416"/>
      <c r="AT372" s="416"/>
    </row>
    <row r="373" spans="3:46" hidden="1" x14ac:dyDescent="0.2">
      <c r="C373" s="416"/>
      <c r="D373" s="416"/>
      <c r="E373" s="416"/>
      <c r="F373" s="416"/>
      <c r="G373" s="416"/>
      <c r="H373" s="416"/>
      <c r="I373" s="416">
        <v>59</v>
      </c>
      <c r="J373" s="416"/>
      <c r="K373" s="416"/>
      <c r="M373" s="416"/>
      <c r="N373" s="416"/>
      <c r="O373" s="416"/>
      <c r="P373" s="416"/>
      <c r="Q373" s="416"/>
      <c r="R373" s="416"/>
      <c r="S373" s="416"/>
      <c r="T373" s="416"/>
      <c r="U373" s="416"/>
      <c r="V373" s="416"/>
      <c r="W373" s="416"/>
      <c r="X373" s="416"/>
      <c r="Y373" s="416"/>
      <c r="Z373" s="416"/>
      <c r="AA373" s="416"/>
      <c r="AB373" s="416"/>
      <c r="AC373" s="416"/>
      <c r="AD373" s="416"/>
      <c r="AE373" s="416"/>
      <c r="AF373" s="416"/>
      <c r="AG373" s="416"/>
      <c r="AH373" s="416"/>
      <c r="AI373" s="416"/>
      <c r="AJ373" s="416"/>
      <c r="AK373" s="416"/>
      <c r="AL373" s="416"/>
      <c r="AM373" s="416"/>
      <c r="AN373" s="416"/>
      <c r="AO373" s="416"/>
      <c r="AP373" s="416"/>
      <c r="AQ373" s="416"/>
      <c r="AR373" s="416"/>
      <c r="AS373" s="416"/>
      <c r="AT373" s="416"/>
    </row>
    <row r="374" spans="3:46" hidden="1" x14ac:dyDescent="0.2">
      <c r="C374" s="416"/>
      <c r="D374" s="416"/>
      <c r="E374" s="416"/>
      <c r="F374" s="416"/>
      <c r="G374" s="416"/>
      <c r="H374" s="416"/>
      <c r="I374" s="416">
        <v>60</v>
      </c>
      <c r="J374" s="416"/>
      <c r="K374" s="416"/>
      <c r="M374" s="416"/>
      <c r="N374" s="416"/>
      <c r="O374" s="416"/>
      <c r="P374" s="416"/>
      <c r="Q374" s="416"/>
      <c r="R374" s="416"/>
      <c r="S374" s="416"/>
      <c r="T374" s="416"/>
      <c r="U374" s="416"/>
      <c r="V374" s="416"/>
      <c r="W374" s="416"/>
      <c r="X374" s="416"/>
      <c r="Y374" s="416"/>
      <c r="Z374" s="416"/>
      <c r="AA374" s="416"/>
      <c r="AB374" s="416"/>
      <c r="AC374" s="416"/>
      <c r="AD374" s="416"/>
      <c r="AE374" s="416"/>
      <c r="AF374" s="416"/>
      <c r="AG374" s="416"/>
      <c r="AH374" s="416"/>
      <c r="AI374" s="416"/>
      <c r="AJ374" s="416"/>
      <c r="AK374" s="416"/>
      <c r="AL374" s="416"/>
      <c r="AM374" s="416"/>
      <c r="AN374" s="416"/>
      <c r="AO374" s="416"/>
      <c r="AP374" s="416"/>
      <c r="AQ374" s="416"/>
      <c r="AR374" s="416"/>
      <c r="AS374" s="416"/>
      <c r="AT374" s="416"/>
    </row>
    <row r="375" spans="3:46" hidden="1" x14ac:dyDescent="0.2">
      <c r="C375" s="416"/>
      <c r="D375" s="416"/>
      <c r="E375" s="416"/>
      <c r="F375" s="416"/>
      <c r="G375" s="416"/>
      <c r="H375" s="416"/>
      <c r="I375" s="416">
        <v>61</v>
      </c>
      <c r="J375" s="416"/>
      <c r="K375" s="416"/>
      <c r="M375" s="416"/>
      <c r="N375" s="416"/>
      <c r="O375" s="416"/>
      <c r="P375" s="416"/>
      <c r="Q375" s="416"/>
      <c r="R375" s="416"/>
      <c r="S375" s="416"/>
      <c r="T375" s="416"/>
      <c r="U375" s="416"/>
      <c r="V375" s="416"/>
      <c r="W375" s="416"/>
      <c r="X375" s="416"/>
      <c r="Y375" s="416"/>
      <c r="Z375" s="416"/>
      <c r="AA375" s="416"/>
      <c r="AB375" s="416"/>
      <c r="AC375" s="416"/>
      <c r="AD375" s="416"/>
      <c r="AE375" s="416"/>
      <c r="AF375" s="416"/>
      <c r="AG375" s="416"/>
      <c r="AH375" s="416"/>
      <c r="AI375" s="416"/>
      <c r="AJ375" s="416"/>
      <c r="AK375" s="416"/>
      <c r="AL375" s="416"/>
      <c r="AM375" s="416"/>
      <c r="AN375" s="416"/>
      <c r="AO375" s="416"/>
      <c r="AP375" s="416"/>
      <c r="AQ375" s="416"/>
      <c r="AR375" s="416"/>
      <c r="AS375" s="416"/>
      <c r="AT375" s="416"/>
    </row>
    <row r="376" spans="3:46" hidden="1" x14ac:dyDescent="0.2">
      <c r="C376" s="416"/>
      <c r="D376" s="416"/>
      <c r="E376" s="416"/>
      <c r="F376" s="416"/>
      <c r="G376" s="416"/>
      <c r="H376" s="416"/>
      <c r="I376" s="416">
        <v>62</v>
      </c>
      <c r="J376" s="416"/>
      <c r="K376" s="416"/>
      <c r="M376" s="416"/>
      <c r="N376" s="416"/>
      <c r="O376" s="416"/>
      <c r="P376" s="416"/>
      <c r="Q376" s="416"/>
      <c r="R376" s="416"/>
      <c r="S376" s="416"/>
      <c r="T376" s="416"/>
      <c r="U376" s="416"/>
      <c r="V376" s="416"/>
      <c r="W376" s="416"/>
      <c r="X376" s="416"/>
      <c r="Y376" s="416"/>
      <c r="Z376" s="416"/>
      <c r="AA376" s="416"/>
      <c r="AB376" s="416"/>
      <c r="AC376" s="416"/>
      <c r="AD376" s="416"/>
      <c r="AE376" s="416"/>
      <c r="AF376" s="416"/>
      <c r="AG376" s="416"/>
      <c r="AH376" s="416"/>
      <c r="AI376" s="416"/>
      <c r="AJ376" s="416"/>
      <c r="AK376" s="416"/>
      <c r="AL376" s="416"/>
      <c r="AM376" s="416"/>
      <c r="AN376" s="416"/>
      <c r="AO376" s="416"/>
      <c r="AP376" s="416"/>
      <c r="AQ376" s="416"/>
      <c r="AR376" s="416"/>
      <c r="AS376" s="416"/>
      <c r="AT376" s="416"/>
    </row>
    <row r="377" spans="3:46" hidden="1" x14ac:dyDescent="0.2">
      <c r="C377" s="416"/>
      <c r="D377" s="416"/>
      <c r="E377" s="416"/>
      <c r="F377" s="416"/>
      <c r="G377" s="416"/>
      <c r="H377" s="416"/>
      <c r="I377" s="416">
        <v>63</v>
      </c>
      <c r="J377" s="416"/>
      <c r="K377" s="416"/>
      <c r="M377" s="416"/>
      <c r="N377" s="416"/>
      <c r="O377" s="416"/>
      <c r="P377" s="416"/>
      <c r="Q377" s="416"/>
      <c r="R377" s="416"/>
      <c r="S377" s="416"/>
      <c r="T377" s="416"/>
      <c r="U377" s="416"/>
      <c r="V377" s="416"/>
      <c r="W377" s="416"/>
      <c r="X377" s="416"/>
      <c r="Y377" s="416"/>
      <c r="Z377" s="416"/>
      <c r="AA377" s="416"/>
      <c r="AB377" s="416"/>
      <c r="AC377" s="416"/>
      <c r="AD377" s="416"/>
      <c r="AE377" s="416"/>
      <c r="AF377" s="416"/>
      <c r="AG377" s="416"/>
      <c r="AH377" s="416"/>
      <c r="AI377" s="416"/>
      <c r="AJ377" s="416"/>
      <c r="AK377" s="416"/>
      <c r="AL377" s="416"/>
      <c r="AM377" s="416"/>
      <c r="AN377" s="416"/>
      <c r="AO377" s="416"/>
      <c r="AP377" s="416"/>
      <c r="AQ377" s="416"/>
      <c r="AR377" s="416"/>
      <c r="AS377" s="416"/>
      <c r="AT377" s="416"/>
    </row>
    <row r="378" spans="3:46" hidden="1" x14ac:dyDescent="0.2">
      <c r="C378" s="416"/>
      <c r="D378" s="416"/>
      <c r="E378" s="416"/>
      <c r="F378" s="416"/>
      <c r="G378" s="416"/>
      <c r="H378" s="416"/>
      <c r="I378" s="416">
        <v>64</v>
      </c>
      <c r="J378" s="416"/>
      <c r="K378" s="416"/>
      <c r="M378" s="416"/>
      <c r="N378" s="416"/>
      <c r="O378" s="416"/>
      <c r="P378" s="416"/>
      <c r="Q378" s="416"/>
      <c r="R378" s="416"/>
      <c r="S378" s="416"/>
      <c r="T378" s="416"/>
      <c r="U378" s="416"/>
      <c r="V378" s="416"/>
      <c r="W378" s="416"/>
      <c r="X378" s="416"/>
      <c r="Y378" s="416"/>
      <c r="Z378" s="416"/>
      <c r="AA378" s="416"/>
      <c r="AB378" s="416"/>
      <c r="AC378" s="416"/>
      <c r="AD378" s="416"/>
      <c r="AE378" s="416"/>
      <c r="AF378" s="416"/>
      <c r="AG378" s="416"/>
      <c r="AH378" s="416"/>
      <c r="AI378" s="416"/>
      <c r="AJ378" s="416"/>
      <c r="AK378" s="416"/>
      <c r="AL378" s="416"/>
      <c r="AM378" s="416"/>
      <c r="AN378" s="416"/>
      <c r="AO378" s="416"/>
      <c r="AP378" s="416"/>
      <c r="AQ378" s="416"/>
      <c r="AR378" s="416"/>
      <c r="AS378" s="416"/>
      <c r="AT378" s="416"/>
    </row>
    <row r="379" spans="3:46" hidden="1" x14ac:dyDescent="0.2">
      <c r="C379" s="416"/>
      <c r="D379" s="416"/>
      <c r="E379" s="416"/>
      <c r="F379" s="416"/>
      <c r="G379" s="416"/>
      <c r="H379" s="416"/>
      <c r="I379" s="416">
        <v>65</v>
      </c>
      <c r="J379" s="416"/>
      <c r="K379" s="416"/>
      <c r="M379" s="416"/>
      <c r="N379" s="416"/>
      <c r="O379" s="416"/>
      <c r="P379" s="416"/>
      <c r="Q379" s="416"/>
      <c r="R379" s="416"/>
      <c r="S379" s="416"/>
      <c r="T379" s="416"/>
      <c r="U379" s="416"/>
      <c r="V379" s="416"/>
      <c r="W379" s="416"/>
      <c r="X379" s="416"/>
      <c r="Y379" s="416"/>
      <c r="Z379" s="416"/>
      <c r="AA379" s="416"/>
      <c r="AB379" s="416"/>
      <c r="AC379" s="416"/>
      <c r="AD379" s="416"/>
      <c r="AE379" s="416"/>
      <c r="AF379" s="416"/>
      <c r="AG379" s="416"/>
      <c r="AH379" s="416"/>
      <c r="AI379" s="416"/>
      <c r="AJ379" s="416"/>
      <c r="AK379" s="416"/>
      <c r="AL379" s="416"/>
      <c r="AM379" s="416"/>
      <c r="AN379" s="416"/>
      <c r="AO379" s="416"/>
      <c r="AP379" s="416"/>
      <c r="AQ379" s="416"/>
      <c r="AR379" s="416"/>
      <c r="AS379" s="416"/>
      <c r="AT379" s="416"/>
    </row>
    <row r="380" spans="3:46" hidden="1" x14ac:dyDescent="0.2">
      <c r="C380" s="416"/>
      <c r="D380" s="416"/>
      <c r="E380" s="416"/>
      <c r="F380" s="416"/>
      <c r="G380" s="416"/>
      <c r="H380" s="416"/>
      <c r="I380" s="416">
        <v>66</v>
      </c>
      <c r="J380" s="416"/>
      <c r="K380" s="416"/>
      <c r="M380" s="416"/>
      <c r="N380" s="416"/>
      <c r="O380" s="416"/>
      <c r="P380" s="416"/>
      <c r="Q380" s="416"/>
      <c r="R380" s="416"/>
      <c r="S380" s="416"/>
      <c r="T380" s="416"/>
      <c r="U380" s="416"/>
      <c r="V380" s="416"/>
      <c r="W380" s="416"/>
      <c r="X380" s="416"/>
      <c r="Y380" s="416"/>
      <c r="Z380" s="416"/>
      <c r="AA380" s="416"/>
      <c r="AB380" s="416"/>
      <c r="AC380" s="416"/>
      <c r="AD380" s="416"/>
      <c r="AE380" s="416"/>
      <c r="AF380" s="416"/>
      <c r="AG380" s="416"/>
      <c r="AH380" s="416"/>
      <c r="AI380" s="416"/>
      <c r="AJ380" s="416"/>
      <c r="AK380" s="416"/>
      <c r="AL380" s="416"/>
      <c r="AM380" s="416"/>
      <c r="AN380" s="416"/>
      <c r="AO380" s="416"/>
      <c r="AP380" s="416"/>
      <c r="AQ380" s="416"/>
      <c r="AR380" s="416"/>
      <c r="AS380" s="416"/>
      <c r="AT380" s="416"/>
    </row>
    <row r="381" spans="3:46" hidden="1" x14ac:dyDescent="0.2">
      <c r="C381" s="416"/>
      <c r="D381" s="416"/>
      <c r="E381" s="416"/>
      <c r="F381" s="416"/>
      <c r="G381" s="416"/>
      <c r="H381" s="416"/>
      <c r="I381" s="416">
        <v>67</v>
      </c>
      <c r="J381" s="416"/>
      <c r="K381" s="416"/>
      <c r="M381" s="416"/>
      <c r="N381" s="416"/>
      <c r="O381" s="416"/>
      <c r="P381" s="416"/>
      <c r="Q381" s="416"/>
      <c r="R381" s="416"/>
      <c r="S381" s="416"/>
      <c r="T381" s="416"/>
      <c r="U381" s="416"/>
      <c r="V381" s="416"/>
      <c r="W381" s="416"/>
      <c r="X381" s="416"/>
      <c r="Y381" s="416"/>
      <c r="Z381" s="416"/>
      <c r="AA381" s="416"/>
      <c r="AB381" s="416"/>
      <c r="AC381" s="416"/>
      <c r="AD381" s="416"/>
      <c r="AE381" s="416"/>
      <c r="AF381" s="416"/>
      <c r="AG381" s="416"/>
      <c r="AH381" s="416"/>
      <c r="AI381" s="416"/>
      <c r="AJ381" s="416"/>
      <c r="AK381" s="416"/>
      <c r="AL381" s="416"/>
      <c r="AM381" s="416"/>
      <c r="AN381" s="416"/>
      <c r="AO381" s="416"/>
      <c r="AP381" s="416"/>
      <c r="AQ381" s="416"/>
      <c r="AR381" s="416"/>
      <c r="AS381" s="416"/>
      <c r="AT381" s="416"/>
    </row>
    <row r="382" spans="3:46" hidden="1" x14ac:dyDescent="0.2">
      <c r="C382" s="416"/>
      <c r="D382" s="416"/>
      <c r="E382" s="416"/>
      <c r="F382" s="416"/>
      <c r="G382" s="416"/>
      <c r="H382" s="416"/>
      <c r="I382" s="416">
        <v>68</v>
      </c>
      <c r="J382" s="416"/>
      <c r="K382" s="416"/>
      <c r="M382" s="416"/>
      <c r="N382" s="416"/>
      <c r="O382" s="416"/>
      <c r="P382" s="416"/>
      <c r="Q382" s="416"/>
      <c r="R382" s="416"/>
      <c r="S382" s="416"/>
      <c r="T382" s="416"/>
      <c r="U382" s="416"/>
      <c r="V382" s="416"/>
      <c r="W382" s="416"/>
      <c r="X382" s="416"/>
      <c r="Y382" s="416"/>
      <c r="Z382" s="416"/>
      <c r="AA382" s="416"/>
      <c r="AB382" s="416"/>
      <c r="AC382" s="416"/>
      <c r="AD382" s="416"/>
      <c r="AE382" s="416"/>
      <c r="AF382" s="416"/>
      <c r="AG382" s="416"/>
      <c r="AH382" s="416"/>
      <c r="AI382" s="416"/>
      <c r="AJ382" s="416"/>
      <c r="AK382" s="416"/>
      <c r="AL382" s="416"/>
      <c r="AM382" s="416"/>
      <c r="AN382" s="416"/>
      <c r="AO382" s="416"/>
      <c r="AP382" s="416"/>
      <c r="AQ382" s="416"/>
      <c r="AR382" s="416"/>
      <c r="AS382" s="416"/>
      <c r="AT382" s="416"/>
    </row>
    <row r="383" spans="3:46" hidden="1" x14ac:dyDescent="0.2">
      <c r="C383" s="416"/>
      <c r="D383" s="416"/>
      <c r="E383" s="416"/>
      <c r="F383" s="416"/>
      <c r="G383" s="416"/>
      <c r="H383" s="416"/>
      <c r="I383" s="416">
        <v>69</v>
      </c>
      <c r="J383" s="416"/>
      <c r="K383" s="416"/>
      <c r="M383" s="416"/>
      <c r="N383" s="416"/>
      <c r="O383" s="416"/>
      <c r="P383" s="416"/>
      <c r="Q383" s="416"/>
      <c r="R383" s="416"/>
      <c r="S383" s="416"/>
      <c r="T383" s="416"/>
      <c r="U383" s="416"/>
      <c r="V383" s="416"/>
      <c r="W383" s="416"/>
      <c r="X383" s="416"/>
      <c r="Y383" s="416"/>
      <c r="Z383" s="416"/>
      <c r="AA383" s="416"/>
      <c r="AB383" s="416"/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</row>
    <row r="384" spans="3:46" hidden="1" x14ac:dyDescent="0.2">
      <c r="C384" s="416"/>
      <c r="D384" s="416"/>
      <c r="E384" s="416"/>
      <c r="F384" s="416"/>
      <c r="G384" s="416"/>
      <c r="H384" s="416"/>
      <c r="I384" s="416">
        <v>70</v>
      </c>
      <c r="J384" s="416"/>
      <c r="K384" s="416"/>
      <c r="M384" s="416"/>
      <c r="N384" s="416"/>
      <c r="O384" s="416"/>
      <c r="P384" s="416"/>
      <c r="Q384" s="416"/>
      <c r="R384" s="416"/>
      <c r="S384" s="416"/>
      <c r="T384" s="416"/>
      <c r="U384" s="416"/>
      <c r="V384" s="416"/>
      <c r="W384" s="416"/>
      <c r="X384" s="416"/>
      <c r="Y384" s="416"/>
      <c r="Z384" s="416"/>
      <c r="AA384" s="416"/>
      <c r="AB384" s="416"/>
      <c r="AC384" s="416"/>
      <c r="AD384" s="416"/>
      <c r="AE384" s="416"/>
      <c r="AF384" s="416"/>
      <c r="AG384" s="416"/>
      <c r="AH384" s="416"/>
      <c r="AI384" s="416"/>
      <c r="AJ384" s="416"/>
      <c r="AK384" s="416"/>
      <c r="AL384" s="416"/>
      <c r="AM384" s="416"/>
      <c r="AN384" s="416"/>
      <c r="AO384" s="416"/>
      <c r="AP384" s="416"/>
      <c r="AQ384" s="416"/>
      <c r="AR384" s="416"/>
      <c r="AS384" s="416"/>
      <c r="AT384" s="416"/>
    </row>
    <row r="385" spans="3:46" hidden="1" x14ac:dyDescent="0.2">
      <c r="C385" s="416"/>
      <c r="D385" s="416"/>
      <c r="E385" s="416"/>
      <c r="F385" s="416"/>
      <c r="G385" s="416"/>
      <c r="H385" s="416"/>
      <c r="I385" s="416">
        <v>71</v>
      </c>
      <c r="J385" s="416"/>
      <c r="K385" s="416"/>
      <c r="M385" s="416"/>
      <c r="N385" s="416"/>
      <c r="O385" s="416"/>
      <c r="P385" s="416"/>
      <c r="Q385" s="416"/>
      <c r="R385" s="416"/>
      <c r="S385" s="416"/>
      <c r="T385" s="416"/>
      <c r="U385" s="416"/>
      <c r="V385" s="416"/>
      <c r="W385" s="416"/>
      <c r="X385" s="416"/>
      <c r="Y385" s="416"/>
      <c r="Z385" s="416"/>
      <c r="AA385" s="416"/>
      <c r="AB385" s="416"/>
      <c r="AC385" s="416"/>
      <c r="AD385" s="416"/>
      <c r="AE385" s="416"/>
      <c r="AF385" s="416"/>
      <c r="AG385" s="416"/>
      <c r="AH385" s="416"/>
      <c r="AI385" s="416"/>
      <c r="AJ385" s="416"/>
      <c r="AK385" s="416"/>
      <c r="AL385" s="416"/>
      <c r="AM385" s="416"/>
      <c r="AN385" s="416"/>
      <c r="AO385" s="416"/>
      <c r="AP385" s="416"/>
      <c r="AQ385" s="416"/>
      <c r="AR385" s="416"/>
      <c r="AS385" s="416"/>
      <c r="AT385" s="416"/>
    </row>
    <row r="386" spans="3:46" hidden="1" x14ac:dyDescent="0.2">
      <c r="C386" s="416"/>
      <c r="D386" s="416"/>
      <c r="E386" s="416"/>
      <c r="F386" s="416"/>
      <c r="G386" s="416"/>
      <c r="H386" s="416"/>
      <c r="I386" s="416">
        <v>72</v>
      </c>
      <c r="J386" s="416"/>
      <c r="K386" s="416"/>
      <c r="M386" s="416"/>
      <c r="N386" s="416"/>
      <c r="O386" s="416"/>
      <c r="P386" s="416"/>
      <c r="Q386" s="416"/>
      <c r="R386" s="416"/>
      <c r="S386" s="416"/>
      <c r="T386" s="416"/>
      <c r="U386" s="416"/>
      <c r="V386" s="416"/>
      <c r="W386" s="416"/>
      <c r="X386" s="416"/>
      <c r="Y386" s="416"/>
      <c r="Z386" s="416"/>
      <c r="AA386" s="416"/>
      <c r="AB386" s="416"/>
      <c r="AC386" s="416"/>
      <c r="AD386" s="416"/>
      <c r="AE386" s="416"/>
      <c r="AF386" s="416"/>
      <c r="AG386" s="416"/>
      <c r="AH386" s="416"/>
      <c r="AI386" s="416"/>
      <c r="AJ386" s="416"/>
      <c r="AK386" s="416"/>
      <c r="AL386" s="416"/>
      <c r="AM386" s="416"/>
      <c r="AN386" s="416"/>
      <c r="AO386" s="416"/>
      <c r="AP386" s="416"/>
      <c r="AQ386" s="416"/>
      <c r="AR386" s="416"/>
      <c r="AS386" s="416"/>
      <c r="AT386" s="416"/>
    </row>
    <row r="387" spans="3:46" hidden="1" x14ac:dyDescent="0.2">
      <c r="C387" s="416"/>
      <c r="D387" s="416"/>
      <c r="E387" s="416"/>
      <c r="F387" s="416"/>
      <c r="G387" s="416"/>
      <c r="H387" s="416"/>
      <c r="I387" s="416">
        <v>73</v>
      </c>
      <c r="J387" s="416"/>
      <c r="K387" s="416"/>
      <c r="M387" s="416"/>
      <c r="N387" s="416"/>
      <c r="O387" s="416"/>
      <c r="P387" s="416"/>
      <c r="Q387" s="416"/>
      <c r="R387" s="416"/>
      <c r="S387" s="416"/>
      <c r="T387" s="416"/>
      <c r="U387" s="416"/>
      <c r="V387" s="416"/>
      <c r="W387" s="416"/>
      <c r="X387" s="416"/>
      <c r="Y387" s="416"/>
      <c r="Z387" s="416"/>
      <c r="AA387" s="416"/>
      <c r="AB387" s="416"/>
      <c r="AC387" s="416"/>
      <c r="AD387" s="416"/>
      <c r="AE387" s="416"/>
      <c r="AF387" s="416"/>
      <c r="AG387" s="416"/>
      <c r="AH387" s="416"/>
      <c r="AI387" s="416"/>
      <c r="AJ387" s="416"/>
      <c r="AK387" s="416"/>
      <c r="AL387" s="416"/>
      <c r="AM387" s="416"/>
      <c r="AN387" s="416"/>
      <c r="AO387" s="416"/>
      <c r="AP387" s="416"/>
      <c r="AQ387" s="416"/>
      <c r="AR387" s="416"/>
      <c r="AS387" s="416"/>
      <c r="AT387" s="416"/>
    </row>
    <row r="388" spans="3:46" hidden="1" x14ac:dyDescent="0.2">
      <c r="C388" s="416"/>
      <c r="D388" s="416"/>
      <c r="E388" s="416"/>
      <c r="F388" s="416"/>
      <c r="G388" s="416"/>
      <c r="H388" s="416"/>
      <c r="I388" s="416">
        <v>74</v>
      </c>
      <c r="J388" s="416"/>
      <c r="K388" s="416"/>
      <c r="M388" s="416"/>
      <c r="N388" s="416"/>
      <c r="O388" s="416"/>
      <c r="P388" s="416"/>
      <c r="Q388" s="416"/>
      <c r="R388" s="416"/>
      <c r="S388" s="416"/>
      <c r="T388" s="416"/>
      <c r="U388" s="416"/>
      <c r="V388" s="416"/>
      <c r="W388" s="416"/>
      <c r="X388" s="416"/>
      <c r="Y388" s="416"/>
      <c r="Z388" s="416"/>
      <c r="AA388" s="416"/>
      <c r="AB388" s="416"/>
      <c r="AC388" s="416"/>
      <c r="AD388" s="416"/>
      <c r="AE388" s="416"/>
      <c r="AF388" s="416"/>
      <c r="AG388" s="416"/>
      <c r="AH388" s="416"/>
      <c r="AI388" s="416"/>
      <c r="AJ388" s="416"/>
      <c r="AK388" s="416"/>
      <c r="AL388" s="416"/>
      <c r="AM388" s="416"/>
      <c r="AN388" s="416"/>
      <c r="AO388" s="416"/>
      <c r="AP388" s="416"/>
      <c r="AQ388" s="416"/>
      <c r="AR388" s="416"/>
      <c r="AS388" s="416"/>
      <c r="AT388" s="416"/>
    </row>
    <row r="389" spans="3:46" hidden="1" x14ac:dyDescent="0.2">
      <c r="C389" s="416"/>
      <c r="D389" s="416"/>
      <c r="E389" s="416"/>
      <c r="F389" s="416"/>
      <c r="G389" s="416"/>
      <c r="H389" s="416"/>
      <c r="I389" s="416">
        <v>75</v>
      </c>
      <c r="J389" s="416"/>
      <c r="K389" s="416"/>
      <c r="M389" s="416"/>
      <c r="N389" s="416"/>
      <c r="O389" s="416"/>
      <c r="P389" s="416"/>
      <c r="Q389" s="416"/>
      <c r="R389" s="416"/>
      <c r="S389" s="416"/>
      <c r="T389" s="416"/>
      <c r="U389" s="416"/>
      <c r="V389" s="416"/>
      <c r="W389" s="416"/>
      <c r="X389" s="416"/>
      <c r="Y389" s="416"/>
      <c r="Z389" s="416"/>
      <c r="AA389" s="416"/>
      <c r="AB389" s="416"/>
      <c r="AC389" s="416"/>
      <c r="AD389" s="416"/>
      <c r="AE389" s="416"/>
      <c r="AF389" s="416"/>
      <c r="AG389" s="416"/>
      <c r="AH389" s="416"/>
      <c r="AI389" s="416"/>
      <c r="AJ389" s="416"/>
      <c r="AK389" s="416"/>
      <c r="AL389" s="416"/>
      <c r="AM389" s="416"/>
      <c r="AN389" s="416"/>
      <c r="AO389" s="416"/>
      <c r="AP389" s="416"/>
      <c r="AQ389" s="416"/>
      <c r="AR389" s="416"/>
      <c r="AS389" s="416"/>
      <c r="AT389" s="416"/>
    </row>
    <row r="390" spans="3:46" hidden="1" x14ac:dyDescent="0.2">
      <c r="C390" s="416"/>
      <c r="D390" s="416"/>
      <c r="E390" s="416"/>
      <c r="F390" s="416"/>
      <c r="G390" s="416"/>
      <c r="H390" s="416"/>
      <c r="I390" s="416">
        <v>76</v>
      </c>
      <c r="J390" s="416"/>
      <c r="K390" s="416"/>
      <c r="M390" s="416"/>
      <c r="N390" s="416"/>
      <c r="O390" s="416"/>
      <c r="P390" s="416"/>
      <c r="Q390" s="416"/>
      <c r="R390" s="416"/>
      <c r="S390" s="416"/>
      <c r="T390" s="416"/>
      <c r="U390" s="416"/>
      <c r="V390" s="416"/>
      <c r="W390" s="416"/>
      <c r="X390" s="416"/>
      <c r="Y390" s="416"/>
      <c r="Z390" s="416"/>
      <c r="AA390" s="416"/>
      <c r="AB390" s="416"/>
      <c r="AC390" s="416"/>
      <c r="AD390" s="416"/>
      <c r="AE390" s="416"/>
      <c r="AF390" s="416"/>
      <c r="AG390" s="416"/>
      <c r="AH390" s="416"/>
      <c r="AI390" s="416"/>
      <c r="AJ390" s="416"/>
      <c r="AK390" s="416"/>
      <c r="AL390" s="416"/>
      <c r="AM390" s="416"/>
      <c r="AN390" s="416"/>
      <c r="AO390" s="416"/>
      <c r="AP390" s="416"/>
      <c r="AQ390" s="416"/>
      <c r="AR390" s="416"/>
      <c r="AS390" s="416"/>
      <c r="AT390" s="416"/>
    </row>
    <row r="391" spans="3:46" hidden="1" x14ac:dyDescent="0.2">
      <c r="C391" s="416"/>
      <c r="D391" s="416"/>
      <c r="E391" s="416"/>
      <c r="F391" s="416"/>
      <c r="G391" s="416"/>
      <c r="H391" s="416"/>
      <c r="I391" s="416">
        <v>77</v>
      </c>
      <c r="J391" s="416"/>
      <c r="K391" s="416"/>
      <c r="M391" s="416"/>
      <c r="N391" s="416"/>
      <c r="O391" s="416"/>
      <c r="P391" s="416"/>
      <c r="Q391" s="416"/>
      <c r="R391" s="416"/>
      <c r="S391" s="416"/>
      <c r="T391" s="416"/>
      <c r="U391" s="416"/>
      <c r="V391" s="416"/>
      <c r="W391" s="416"/>
      <c r="X391" s="416"/>
      <c r="Y391" s="416"/>
      <c r="Z391" s="416"/>
      <c r="AA391" s="416"/>
      <c r="AB391" s="416"/>
      <c r="AC391" s="416"/>
      <c r="AD391" s="416"/>
      <c r="AE391" s="416"/>
      <c r="AF391" s="416"/>
      <c r="AG391" s="416"/>
      <c r="AH391" s="416"/>
      <c r="AI391" s="416"/>
      <c r="AJ391" s="416"/>
      <c r="AK391" s="416"/>
      <c r="AL391" s="416"/>
      <c r="AM391" s="416"/>
      <c r="AN391" s="416"/>
      <c r="AO391" s="416"/>
      <c r="AP391" s="416"/>
      <c r="AQ391" s="416"/>
      <c r="AR391" s="416"/>
      <c r="AS391" s="416"/>
      <c r="AT391" s="416"/>
    </row>
    <row r="392" spans="3:46" hidden="1" x14ac:dyDescent="0.2">
      <c r="C392" s="416"/>
      <c r="D392" s="416"/>
      <c r="E392" s="416"/>
      <c r="F392" s="416"/>
      <c r="G392" s="416"/>
      <c r="H392" s="416"/>
      <c r="I392" s="416">
        <v>78</v>
      </c>
      <c r="J392" s="416"/>
      <c r="K392" s="416"/>
      <c r="M392" s="416"/>
      <c r="N392" s="416"/>
      <c r="O392" s="416"/>
      <c r="P392" s="416"/>
      <c r="Q392" s="416"/>
      <c r="R392" s="416"/>
      <c r="S392" s="416"/>
      <c r="T392" s="416"/>
      <c r="U392" s="416"/>
      <c r="V392" s="416"/>
      <c r="W392" s="416"/>
      <c r="X392" s="416"/>
      <c r="Y392" s="416"/>
      <c r="Z392" s="416"/>
      <c r="AA392" s="416"/>
      <c r="AB392" s="416"/>
      <c r="AC392" s="416"/>
      <c r="AD392" s="416"/>
      <c r="AE392" s="416"/>
      <c r="AF392" s="416"/>
      <c r="AG392" s="416"/>
      <c r="AH392" s="416"/>
      <c r="AI392" s="416"/>
      <c r="AJ392" s="416"/>
      <c r="AK392" s="416"/>
      <c r="AL392" s="416"/>
      <c r="AM392" s="416"/>
      <c r="AN392" s="416"/>
      <c r="AO392" s="416"/>
      <c r="AP392" s="416"/>
      <c r="AQ392" s="416"/>
      <c r="AR392" s="416"/>
      <c r="AS392" s="416"/>
      <c r="AT392" s="416"/>
    </row>
    <row r="393" spans="3:46" hidden="1" x14ac:dyDescent="0.2">
      <c r="C393" s="416"/>
      <c r="D393" s="416"/>
      <c r="E393" s="416"/>
      <c r="F393" s="416"/>
      <c r="G393" s="416"/>
      <c r="H393" s="416"/>
      <c r="I393" s="416">
        <v>79</v>
      </c>
      <c r="J393" s="416"/>
      <c r="K393" s="416"/>
      <c r="M393" s="416"/>
      <c r="N393" s="416"/>
      <c r="O393" s="416"/>
      <c r="P393" s="416"/>
      <c r="Q393" s="416"/>
      <c r="R393" s="416"/>
      <c r="S393" s="416"/>
      <c r="T393" s="416"/>
      <c r="U393" s="416"/>
      <c r="V393" s="416"/>
      <c r="W393" s="416"/>
      <c r="X393" s="416"/>
      <c r="Y393" s="416"/>
      <c r="Z393" s="416"/>
      <c r="AA393" s="416"/>
      <c r="AB393" s="416"/>
      <c r="AC393" s="416"/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</row>
    <row r="394" spans="3:46" hidden="1" x14ac:dyDescent="0.2">
      <c r="C394" s="416"/>
      <c r="D394" s="416"/>
      <c r="E394" s="416"/>
      <c r="F394" s="416"/>
      <c r="G394" s="416"/>
      <c r="H394" s="416"/>
      <c r="I394" s="416">
        <v>80</v>
      </c>
      <c r="J394" s="416"/>
      <c r="K394" s="416"/>
      <c r="M394" s="416"/>
      <c r="N394" s="416"/>
      <c r="O394" s="416"/>
      <c r="P394" s="416"/>
      <c r="Q394" s="416"/>
      <c r="R394" s="416"/>
      <c r="S394" s="416"/>
      <c r="T394" s="416"/>
      <c r="U394" s="416"/>
      <c r="V394" s="416"/>
      <c r="W394" s="416"/>
      <c r="X394" s="416"/>
      <c r="Y394" s="416"/>
      <c r="Z394" s="416"/>
      <c r="AA394" s="416"/>
      <c r="AB394" s="416"/>
      <c r="AC394" s="416"/>
      <c r="AD394" s="416"/>
      <c r="AE394" s="416"/>
      <c r="AF394" s="416"/>
      <c r="AG394" s="416"/>
      <c r="AH394" s="416"/>
      <c r="AI394" s="416"/>
      <c r="AJ394" s="416"/>
      <c r="AK394" s="416"/>
      <c r="AL394" s="416"/>
      <c r="AM394" s="416"/>
      <c r="AN394" s="416"/>
      <c r="AO394" s="416"/>
      <c r="AP394" s="416"/>
      <c r="AQ394" s="416"/>
      <c r="AR394" s="416"/>
      <c r="AS394" s="416"/>
      <c r="AT394" s="416"/>
    </row>
    <row r="395" spans="3:46" hidden="1" x14ac:dyDescent="0.2">
      <c r="C395" s="416"/>
      <c r="D395" s="416"/>
      <c r="E395" s="416"/>
      <c r="F395" s="416"/>
      <c r="G395" s="416"/>
      <c r="H395" s="416"/>
      <c r="I395" s="416">
        <v>81</v>
      </c>
      <c r="J395" s="416"/>
      <c r="K395" s="416"/>
      <c r="M395" s="416"/>
      <c r="N395" s="416"/>
      <c r="O395" s="416"/>
      <c r="P395" s="416"/>
      <c r="Q395" s="416"/>
      <c r="R395" s="416"/>
      <c r="S395" s="416"/>
      <c r="T395" s="416"/>
      <c r="U395" s="416"/>
      <c r="V395" s="416"/>
      <c r="W395" s="416"/>
      <c r="X395" s="416"/>
      <c r="Y395" s="416"/>
      <c r="Z395" s="416"/>
      <c r="AA395" s="416"/>
      <c r="AB395" s="416"/>
      <c r="AC395" s="416"/>
      <c r="AD395" s="416"/>
      <c r="AE395" s="416"/>
      <c r="AF395" s="416"/>
      <c r="AG395" s="416"/>
      <c r="AH395" s="416"/>
      <c r="AI395" s="416"/>
      <c r="AJ395" s="416"/>
      <c r="AK395" s="416"/>
      <c r="AL395" s="416"/>
      <c r="AM395" s="416"/>
      <c r="AN395" s="416"/>
      <c r="AO395" s="416"/>
      <c r="AP395" s="416"/>
      <c r="AQ395" s="416"/>
      <c r="AR395" s="416"/>
      <c r="AS395" s="416"/>
      <c r="AT395" s="416"/>
    </row>
    <row r="396" spans="3:46" hidden="1" x14ac:dyDescent="0.2">
      <c r="C396" s="416"/>
      <c r="D396" s="416"/>
      <c r="E396" s="416"/>
      <c r="F396" s="416"/>
      <c r="G396" s="416"/>
      <c r="H396" s="416"/>
      <c r="I396" s="416">
        <v>82</v>
      </c>
      <c r="J396" s="416"/>
      <c r="K396" s="416"/>
      <c r="M396" s="416"/>
      <c r="N396" s="416"/>
      <c r="O396" s="416"/>
      <c r="P396" s="416"/>
      <c r="Q396" s="416"/>
      <c r="R396" s="416"/>
      <c r="S396" s="416"/>
      <c r="T396" s="416"/>
      <c r="U396" s="416"/>
      <c r="V396" s="416"/>
      <c r="W396" s="416"/>
      <c r="X396" s="416"/>
      <c r="Y396" s="416"/>
      <c r="Z396" s="416"/>
      <c r="AA396" s="416"/>
      <c r="AB396" s="416"/>
      <c r="AC396" s="416"/>
      <c r="AD396" s="416"/>
      <c r="AE396" s="416"/>
      <c r="AF396" s="416"/>
      <c r="AG396" s="416"/>
      <c r="AH396" s="416"/>
      <c r="AI396" s="416"/>
      <c r="AJ396" s="416"/>
      <c r="AK396" s="416"/>
      <c r="AL396" s="416"/>
      <c r="AM396" s="416"/>
      <c r="AN396" s="416"/>
      <c r="AO396" s="416"/>
      <c r="AP396" s="416"/>
      <c r="AQ396" s="416"/>
      <c r="AR396" s="416"/>
      <c r="AS396" s="416"/>
      <c r="AT396" s="416"/>
    </row>
    <row r="397" spans="3:46" hidden="1" x14ac:dyDescent="0.2">
      <c r="C397" s="416"/>
      <c r="D397" s="416"/>
      <c r="E397" s="416"/>
      <c r="F397" s="416"/>
      <c r="G397" s="416"/>
      <c r="H397" s="416"/>
      <c r="I397" s="416">
        <v>83</v>
      </c>
      <c r="J397" s="416"/>
      <c r="K397" s="416"/>
      <c r="M397" s="416"/>
      <c r="N397" s="416"/>
      <c r="O397" s="416"/>
      <c r="P397" s="416"/>
      <c r="Q397" s="416"/>
      <c r="R397" s="416"/>
      <c r="S397" s="416"/>
      <c r="T397" s="416"/>
      <c r="U397" s="416"/>
      <c r="V397" s="416"/>
      <c r="W397" s="416"/>
      <c r="X397" s="416"/>
      <c r="Y397" s="416"/>
      <c r="Z397" s="416"/>
      <c r="AA397" s="416"/>
      <c r="AB397" s="416"/>
      <c r="AC397" s="416"/>
      <c r="AD397" s="416"/>
      <c r="AE397" s="416"/>
      <c r="AF397" s="416"/>
      <c r="AG397" s="416"/>
      <c r="AH397" s="416"/>
      <c r="AI397" s="416"/>
      <c r="AJ397" s="416"/>
      <c r="AK397" s="416"/>
      <c r="AL397" s="416"/>
      <c r="AM397" s="416"/>
      <c r="AN397" s="416"/>
      <c r="AO397" s="416"/>
      <c r="AP397" s="416"/>
      <c r="AQ397" s="416"/>
      <c r="AR397" s="416"/>
      <c r="AS397" s="416"/>
      <c r="AT397" s="416"/>
    </row>
    <row r="398" spans="3:46" hidden="1" x14ac:dyDescent="0.2">
      <c r="C398" s="416"/>
      <c r="D398" s="416"/>
      <c r="E398" s="416"/>
      <c r="F398" s="416"/>
      <c r="G398" s="416"/>
      <c r="H398" s="416"/>
      <c r="I398" s="416">
        <v>84</v>
      </c>
      <c r="J398" s="416"/>
      <c r="K398" s="416"/>
      <c r="M398" s="416"/>
      <c r="N398" s="416"/>
      <c r="O398" s="416"/>
      <c r="P398" s="416"/>
      <c r="Q398" s="416"/>
      <c r="R398" s="416"/>
      <c r="S398" s="416"/>
      <c r="T398" s="416"/>
      <c r="U398" s="416"/>
      <c r="V398" s="416"/>
      <c r="W398" s="416"/>
      <c r="X398" s="416"/>
      <c r="Y398" s="416"/>
      <c r="Z398" s="416"/>
      <c r="AA398" s="416"/>
      <c r="AB398" s="416"/>
      <c r="AC398" s="416"/>
      <c r="AD398" s="416"/>
      <c r="AE398" s="416"/>
      <c r="AF398" s="416"/>
      <c r="AG398" s="416"/>
      <c r="AH398" s="416"/>
      <c r="AI398" s="416"/>
      <c r="AJ398" s="416"/>
      <c r="AK398" s="416"/>
      <c r="AL398" s="416"/>
      <c r="AM398" s="416"/>
      <c r="AN398" s="416"/>
      <c r="AO398" s="416"/>
      <c r="AP398" s="416"/>
      <c r="AQ398" s="416"/>
      <c r="AR398" s="416"/>
      <c r="AS398" s="416"/>
      <c r="AT398" s="416"/>
    </row>
    <row r="399" spans="3:46" hidden="1" x14ac:dyDescent="0.2">
      <c r="C399" s="416"/>
      <c r="D399" s="416"/>
      <c r="E399" s="416"/>
      <c r="F399" s="416"/>
      <c r="G399" s="416"/>
      <c r="H399" s="416"/>
      <c r="I399" s="416">
        <v>85</v>
      </c>
      <c r="J399" s="416"/>
      <c r="K399" s="416"/>
      <c r="M399" s="416"/>
      <c r="N399" s="416"/>
      <c r="O399" s="416"/>
      <c r="P399" s="416"/>
      <c r="Q399" s="416"/>
      <c r="R399" s="416"/>
      <c r="S399" s="416"/>
      <c r="T399" s="416"/>
      <c r="U399" s="416"/>
      <c r="V399" s="416"/>
      <c r="W399" s="416"/>
      <c r="X399" s="416"/>
      <c r="Y399" s="416"/>
      <c r="Z399" s="416"/>
      <c r="AA399" s="416"/>
      <c r="AB399" s="416"/>
      <c r="AC399" s="416"/>
      <c r="AD399" s="416"/>
      <c r="AE399" s="416"/>
      <c r="AF399" s="416"/>
      <c r="AG399" s="416"/>
      <c r="AH399" s="416"/>
      <c r="AI399" s="416"/>
      <c r="AJ399" s="416"/>
      <c r="AK399" s="416"/>
      <c r="AL399" s="416"/>
      <c r="AM399" s="416"/>
      <c r="AN399" s="416"/>
      <c r="AO399" s="416"/>
      <c r="AP399" s="416"/>
      <c r="AQ399" s="416"/>
      <c r="AR399" s="416"/>
      <c r="AS399" s="416"/>
      <c r="AT399" s="416"/>
    </row>
    <row r="400" spans="3:46" hidden="1" x14ac:dyDescent="0.2">
      <c r="C400" s="416"/>
      <c r="D400" s="416"/>
      <c r="E400" s="416"/>
      <c r="F400" s="416"/>
      <c r="G400" s="416"/>
      <c r="H400" s="416"/>
      <c r="I400" s="416">
        <v>86</v>
      </c>
      <c r="J400" s="416"/>
      <c r="K400" s="416"/>
      <c r="M400" s="416"/>
      <c r="N400" s="416"/>
      <c r="O400" s="416"/>
      <c r="P400" s="416"/>
      <c r="Q400" s="416"/>
      <c r="R400" s="416"/>
      <c r="S400" s="416"/>
      <c r="T400" s="416"/>
      <c r="U400" s="416"/>
      <c r="V400" s="416"/>
      <c r="W400" s="416"/>
      <c r="X400" s="416"/>
      <c r="Y400" s="416"/>
      <c r="Z400" s="416"/>
      <c r="AA400" s="416"/>
      <c r="AB400" s="416"/>
      <c r="AC400" s="416"/>
      <c r="AD400" s="416"/>
      <c r="AE400" s="416"/>
      <c r="AF400" s="416"/>
      <c r="AG400" s="416"/>
      <c r="AH400" s="416"/>
      <c r="AI400" s="416"/>
      <c r="AJ400" s="416"/>
      <c r="AK400" s="416"/>
      <c r="AL400" s="416"/>
      <c r="AM400" s="416"/>
      <c r="AN400" s="416"/>
      <c r="AO400" s="416"/>
      <c r="AP400" s="416"/>
      <c r="AQ400" s="416"/>
      <c r="AR400" s="416"/>
      <c r="AS400" s="416"/>
      <c r="AT400" s="416"/>
    </row>
    <row r="401" spans="3:46" hidden="1" x14ac:dyDescent="0.2">
      <c r="C401" s="416"/>
      <c r="D401" s="416"/>
      <c r="E401" s="416"/>
      <c r="F401" s="416"/>
      <c r="G401" s="416"/>
      <c r="H401" s="416"/>
      <c r="I401" s="416">
        <v>87</v>
      </c>
      <c r="J401" s="416"/>
      <c r="K401" s="416"/>
      <c r="M401" s="416"/>
      <c r="N401" s="416"/>
      <c r="O401" s="416"/>
      <c r="P401" s="416"/>
      <c r="Q401" s="416"/>
      <c r="R401" s="416"/>
      <c r="S401" s="416"/>
      <c r="T401" s="416"/>
      <c r="U401" s="416"/>
      <c r="V401" s="416"/>
      <c r="W401" s="416"/>
      <c r="X401" s="416"/>
      <c r="Y401" s="416"/>
      <c r="Z401" s="416"/>
      <c r="AA401" s="416"/>
      <c r="AB401" s="416"/>
      <c r="AC401" s="416"/>
      <c r="AD401" s="416"/>
      <c r="AE401" s="416"/>
      <c r="AF401" s="416"/>
      <c r="AG401" s="416"/>
      <c r="AH401" s="416"/>
      <c r="AI401" s="416"/>
      <c r="AJ401" s="416"/>
      <c r="AK401" s="416"/>
      <c r="AL401" s="416"/>
      <c r="AM401" s="416"/>
      <c r="AN401" s="416"/>
      <c r="AO401" s="416"/>
      <c r="AP401" s="416"/>
      <c r="AQ401" s="416"/>
      <c r="AR401" s="416"/>
      <c r="AS401" s="416"/>
      <c r="AT401" s="416"/>
    </row>
    <row r="402" spans="3:46" hidden="1" x14ac:dyDescent="0.2">
      <c r="C402" s="416"/>
      <c r="D402" s="416"/>
      <c r="E402" s="416"/>
      <c r="F402" s="416"/>
      <c r="G402" s="416"/>
      <c r="H402" s="416"/>
      <c r="I402" s="416">
        <v>88</v>
      </c>
      <c r="J402" s="416"/>
      <c r="K402" s="416"/>
      <c r="M402" s="416"/>
      <c r="N402" s="416"/>
      <c r="O402" s="416"/>
      <c r="P402" s="416"/>
      <c r="Q402" s="416"/>
      <c r="R402" s="416"/>
      <c r="S402" s="416"/>
      <c r="T402" s="416"/>
      <c r="U402" s="416"/>
      <c r="V402" s="416"/>
      <c r="W402" s="416"/>
      <c r="X402" s="416"/>
      <c r="Y402" s="416"/>
      <c r="Z402" s="416"/>
      <c r="AA402" s="416"/>
      <c r="AB402" s="416"/>
      <c r="AC402" s="416"/>
      <c r="AD402" s="416"/>
      <c r="AE402" s="416"/>
      <c r="AF402" s="416"/>
      <c r="AG402" s="416"/>
      <c r="AH402" s="416"/>
      <c r="AI402" s="416"/>
      <c r="AJ402" s="416"/>
      <c r="AK402" s="416"/>
      <c r="AL402" s="416"/>
      <c r="AM402" s="416"/>
      <c r="AN402" s="416"/>
      <c r="AO402" s="416"/>
      <c r="AP402" s="416"/>
      <c r="AQ402" s="416"/>
      <c r="AR402" s="416"/>
      <c r="AS402" s="416"/>
      <c r="AT402" s="416"/>
    </row>
    <row r="403" spans="3:46" hidden="1" x14ac:dyDescent="0.2">
      <c r="C403" s="416"/>
      <c r="D403" s="416"/>
      <c r="E403" s="416"/>
      <c r="F403" s="416"/>
      <c r="G403" s="416"/>
      <c r="H403" s="416"/>
      <c r="I403" s="416">
        <v>89</v>
      </c>
      <c r="J403" s="416"/>
      <c r="K403" s="416"/>
      <c r="M403" s="416"/>
      <c r="N403" s="416"/>
      <c r="O403" s="416"/>
      <c r="P403" s="416"/>
      <c r="Q403" s="416"/>
      <c r="R403" s="416"/>
      <c r="S403" s="416"/>
      <c r="T403" s="416"/>
      <c r="U403" s="416"/>
      <c r="V403" s="416"/>
      <c r="W403" s="416"/>
      <c r="X403" s="416"/>
      <c r="Y403" s="416"/>
      <c r="Z403" s="416"/>
      <c r="AA403" s="416"/>
      <c r="AB403" s="416"/>
      <c r="AC403" s="416"/>
      <c r="AD403" s="416"/>
      <c r="AE403" s="416"/>
      <c r="AF403" s="416"/>
      <c r="AG403" s="416"/>
      <c r="AH403" s="416"/>
      <c r="AI403" s="416"/>
      <c r="AJ403" s="416"/>
      <c r="AK403" s="416"/>
      <c r="AL403" s="416"/>
      <c r="AM403" s="416"/>
      <c r="AN403" s="416"/>
      <c r="AO403" s="416"/>
      <c r="AP403" s="416"/>
      <c r="AQ403" s="416"/>
      <c r="AR403" s="416"/>
      <c r="AS403" s="416"/>
      <c r="AT403" s="416"/>
    </row>
    <row r="404" spans="3:46" hidden="1" x14ac:dyDescent="0.2">
      <c r="C404" s="416"/>
      <c r="D404" s="416"/>
      <c r="E404" s="416"/>
      <c r="F404" s="416"/>
      <c r="G404" s="416"/>
      <c r="H404" s="416"/>
      <c r="I404" s="416">
        <v>90</v>
      </c>
      <c r="J404" s="416"/>
      <c r="K404" s="416"/>
      <c r="M404" s="416"/>
      <c r="N404" s="416"/>
      <c r="O404" s="416"/>
      <c r="P404" s="416"/>
      <c r="Q404" s="416"/>
      <c r="R404" s="416"/>
      <c r="S404" s="416"/>
      <c r="T404" s="416"/>
      <c r="U404" s="416"/>
      <c r="V404" s="416"/>
      <c r="W404" s="416"/>
      <c r="X404" s="416"/>
      <c r="Y404" s="416"/>
      <c r="Z404" s="416"/>
      <c r="AA404" s="416"/>
      <c r="AB404" s="416"/>
      <c r="AC404" s="416"/>
      <c r="AD404" s="416"/>
      <c r="AE404" s="416"/>
      <c r="AF404" s="416"/>
      <c r="AG404" s="416"/>
      <c r="AH404" s="416"/>
      <c r="AI404" s="416"/>
      <c r="AJ404" s="416"/>
      <c r="AK404" s="416"/>
      <c r="AL404" s="416"/>
      <c r="AM404" s="416"/>
      <c r="AN404" s="416"/>
      <c r="AO404" s="416"/>
      <c r="AP404" s="416"/>
      <c r="AQ404" s="416"/>
      <c r="AR404" s="416"/>
      <c r="AS404" s="416"/>
      <c r="AT404" s="416"/>
    </row>
    <row r="405" spans="3:46" hidden="1" x14ac:dyDescent="0.2">
      <c r="C405" s="416"/>
      <c r="D405" s="416"/>
      <c r="E405" s="416"/>
      <c r="F405" s="416"/>
      <c r="G405" s="416"/>
      <c r="H405" s="416"/>
      <c r="I405" s="416">
        <v>91</v>
      </c>
      <c r="J405" s="416"/>
      <c r="K405" s="416"/>
      <c r="M405" s="416"/>
      <c r="N405" s="416"/>
      <c r="O405" s="416"/>
      <c r="P405" s="416"/>
      <c r="Q405" s="416"/>
      <c r="R405" s="416"/>
      <c r="S405" s="416"/>
      <c r="T405" s="416"/>
      <c r="U405" s="416"/>
      <c r="V405" s="416"/>
      <c r="W405" s="416"/>
      <c r="X405" s="416"/>
      <c r="Y405" s="416"/>
      <c r="Z405" s="416"/>
      <c r="AA405" s="416"/>
      <c r="AB405" s="416"/>
      <c r="AC405" s="416"/>
      <c r="AD405" s="416"/>
      <c r="AE405" s="416"/>
      <c r="AF405" s="416"/>
      <c r="AG405" s="416"/>
      <c r="AH405" s="416"/>
      <c r="AI405" s="416"/>
      <c r="AJ405" s="416"/>
      <c r="AK405" s="416"/>
      <c r="AL405" s="416"/>
      <c r="AM405" s="416"/>
      <c r="AN405" s="416"/>
      <c r="AO405" s="416"/>
      <c r="AP405" s="416"/>
      <c r="AQ405" s="416"/>
      <c r="AR405" s="416"/>
      <c r="AS405" s="416"/>
      <c r="AT405" s="416"/>
    </row>
    <row r="406" spans="3:46" hidden="1" x14ac:dyDescent="0.2">
      <c r="C406" s="416"/>
      <c r="D406" s="416"/>
      <c r="E406" s="416"/>
      <c r="F406" s="416"/>
      <c r="G406" s="416"/>
      <c r="H406" s="416"/>
      <c r="I406" s="416">
        <v>92</v>
      </c>
      <c r="J406" s="416"/>
      <c r="K406" s="416"/>
      <c r="M406" s="416"/>
      <c r="N406" s="416"/>
      <c r="O406" s="416"/>
      <c r="P406" s="416"/>
      <c r="Q406" s="416"/>
      <c r="R406" s="416"/>
      <c r="S406" s="416"/>
      <c r="T406" s="416"/>
      <c r="U406" s="416"/>
      <c r="V406" s="416"/>
      <c r="W406" s="416"/>
      <c r="X406" s="416"/>
      <c r="Y406" s="416"/>
      <c r="Z406" s="416"/>
      <c r="AA406" s="416"/>
      <c r="AB406" s="416"/>
      <c r="AC406" s="416"/>
      <c r="AD406" s="416"/>
      <c r="AE406" s="416"/>
      <c r="AF406" s="416"/>
      <c r="AG406" s="416"/>
      <c r="AH406" s="416"/>
      <c r="AI406" s="416"/>
      <c r="AJ406" s="416"/>
      <c r="AK406" s="416"/>
      <c r="AL406" s="416"/>
      <c r="AM406" s="416"/>
      <c r="AN406" s="416"/>
      <c r="AO406" s="416"/>
      <c r="AP406" s="416"/>
      <c r="AQ406" s="416"/>
      <c r="AR406" s="416"/>
      <c r="AS406" s="416"/>
      <c r="AT406" s="416"/>
    </row>
    <row r="407" spans="3:46" hidden="1" x14ac:dyDescent="0.2">
      <c r="C407" s="416"/>
      <c r="D407" s="416"/>
      <c r="E407" s="416"/>
      <c r="F407" s="416"/>
      <c r="G407" s="416"/>
      <c r="H407" s="416"/>
      <c r="I407" s="416">
        <v>93</v>
      </c>
      <c r="J407" s="416"/>
      <c r="K407" s="416"/>
      <c r="M407" s="416"/>
      <c r="N407" s="416"/>
      <c r="O407" s="416"/>
      <c r="P407" s="416"/>
      <c r="Q407" s="416"/>
      <c r="R407" s="416"/>
      <c r="S407" s="416"/>
      <c r="T407" s="416"/>
      <c r="U407" s="416"/>
      <c r="V407" s="416"/>
      <c r="W407" s="416"/>
      <c r="X407" s="416"/>
      <c r="Y407" s="416"/>
      <c r="Z407" s="416"/>
      <c r="AA407" s="416"/>
      <c r="AB407" s="416"/>
      <c r="AC407" s="416"/>
      <c r="AD407" s="416"/>
      <c r="AE407" s="416"/>
      <c r="AF407" s="416"/>
      <c r="AG407" s="416"/>
      <c r="AH407" s="416"/>
      <c r="AI407" s="416"/>
      <c r="AJ407" s="416"/>
      <c r="AK407" s="416"/>
      <c r="AL407" s="416"/>
      <c r="AM407" s="416"/>
      <c r="AN407" s="416"/>
      <c r="AO407" s="416"/>
      <c r="AP407" s="416"/>
      <c r="AQ407" s="416"/>
      <c r="AR407" s="416"/>
      <c r="AS407" s="416"/>
      <c r="AT407" s="416"/>
    </row>
    <row r="408" spans="3:46" hidden="1" x14ac:dyDescent="0.2">
      <c r="C408" s="416"/>
      <c r="D408" s="416"/>
      <c r="E408" s="416"/>
      <c r="F408" s="416"/>
      <c r="G408" s="416"/>
      <c r="H408" s="416"/>
      <c r="I408" s="416">
        <v>94</v>
      </c>
      <c r="J408" s="416"/>
      <c r="K408" s="416"/>
      <c r="M408" s="416"/>
      <c r="N408" s="416"/>
      <c r="O408" s="416"/>
      <c r="P408" s="416"/>
      <c r="Q408" s="416"/>
      <c r="R408" s="416"/>
      <c r="S408" s="416"/>
      <c r="T408" s="416"/>
      <c r="U408" s="416"/>
      <c r="V408" s="416"/>
      <c r="W408" s="416"/>
      <c r="X408" s="416"/>
      <c r="Y408" s="416"/>
      <c r="Z408" s="416"/>
      <c r="AA408" s="416"/>
      <c r="AB408" s="416"/>
      <c r="AC408" s="416"/>
      <c r="AD408" s="416"/>
      <c r="AE408" s="416"/>
      <c r="AF408" s="416"/>
      <c r="AG408" s="416"/>
      <c r="AH408" s="416"/>
      <c r="AI408" s="416"/>
      <c r="AJ408" s="416"/>
      <c r="AK408" s="416"/>
      <c r="AL408" s="416"/>
      <c r="AM408" s="416"/>
      <c r="AN408" s="416"/>
      <c r="AO408" s="416"/>
      <c r="AP408" s="416"/>
      <c r="AQ408" s="416"/>
      <c r="AR408" s="416"/>
      <c r="AS408" s="416"/>
      <c r="AT408" s="416"/>
    </row>
    <row r="409" spans="3:46" hidden="1" x14ac:dyDescent="0.2">
      <c r="C409" s="416"/>
      <c r="D409" s="416"/>
      <c r="E409" s="416"/>
      <c r="F409" s="416"/>
      <c r="G409" s="416"/>
      <c r="H409" s="416"/>
      <c r="I409" s="416">
        <v>95</v>
      </c>
      <c r="J409" s="416"/>
      <c r="K409" s="416"/>
      <c r="M409" s="416"/>
      <c r="N409" s="416"/>
      <c r="O409" s="416"/>
      <c r="P409" s="416"/>
      <c r="Q409" s="416"/>
      <c r="R409" s="416"/>
      <c r="S409" s="416"/>
      <c r="T409" s="416"/>
      <c r="U409" s="416"/>
      <c r="V409" s="416"/>
      <c r="W409" s="416"/>
      <c r="X409" s="416"/>
      <c r="Y409" s="416"/>
      <c r="Z409" s="416"/>
      <c r="AA409" s="416"/>
      <c r="AB409" s="416"/>
      <c r="AC409" s="416"/>
      <c r="AD409" s="416"/>
      <c r="AE409" s="416"/>
      <c r="AF409" s="416"/>
      <c r="AG409" s="416"/>
      <c r="AH409" s="416"/>
      <c r="AI409" s="416"/>
      <c r="AJ409" s="416"/>
      <c r="AK409" s="416"/>
      <c r="AL409" s="416"/>
      <c r="AM409" s="416"/>
      <c r="AN409" s="416"/>
      <c r="AO409" s="416"/>
      <c r="AP409" s="416"/>
      <c r="AQ409" s="416"/>
      <c r="AR409" s="416"/>
      <c r="AS409" s="416"/>
      <c r="AT409" s="416"/>
    </row>
    <row r="410" spans="3:46" hidden="1" x14ac:dyDescent="0.2">
      <c r="C410" s="416"/>
      <c r="D410" s="416"/>
      <c r="E410" s="416"/>
      <c r="F410" s="416"/>
      <c r="G410" s="416"/>
      <c r="H410" s="416"/>
      <c r="I410" s="416">
        <v>96</v>
      </c>
      <c r="J410" s="416"/>
      <c r="K410" s="416"/>
      <c r="M410" s="416"/>
      <c r="N410" s="416"/>
      <c r="O410" s="416"/>
      <c r="P410" s="416"/>
      <c r="Q410" s="416"/>
      <c r="R410" s="416"/>
      <c r="S410" s="416"/>
      <c r="T410" s="416"/>
      <c r="U410" s="416"/>
      <c r="V410" s="416"/>
      <c r="W410" s="416"/>
      <c r="X410" s="416"/>
      <c r="Y410" s="416"/>
      <c r="Z410" s="416"/>
      <c r="AA410" s="416"/>
      <c r="AB410" s="416"/>
      <c r="AC410" s="416"/>
      <c r="AD410" s="416"/>
      <c r="AE410" s="416"/>
      <c r="AF410" s="416"/>
      <c r="AG410" s="416"/>
      <c r="AH410" s="416"/>
      <c r="AI410" s="416"/>
      <c r="AJ410" s="416"/>
      <c r="AK410" s="416"/>
      <c r="AL410" s="416"/>
      <c r="AM410" s="416"/>
      <c r="AN410" s="416"/>
      <c r="AO410" s="416"/>
      <c r="AP410" s="416"/>
      <c r="AQ410" s="416"/>
      <c r="AR410" s="416"/>
      <c r="AS410" s="416"/>
      <c r="AT410" s="416"/>
    </row>
    <row r="411" spans="3:46" hidden="1" x14ac:dyDescent="0.2">
      <c r="C411" s="416"/>
      <c r="D411" s="416"/>
      <c r="E411" s="416"/>
      <c r="F411" s="416"/>
      <c r="G411" s="416"/>
      <c r="H411" s="416"/>
      <c r="I411" s="416">
        <v>97</v>
      </c>
      <c r="J411" s="416"/>
      <c r="K411" s="416"/>
      <c r="M411" s="416"/>
      <c r="N411" s="416"/>
      <c r="O411" s="416"/>
      <c r="P411" s="416"/>
      <c r="Q411" s="416"/>
      <c r="R411" s="416"/>
      <c r="S411" s="416"/>
      <c r="T411" s="416"/>
      <c r="U411" s="416"/>
      <c r="V411" s="416"/>
      <c r="W411" s="416"/>
      <c r="X411" s="416"/>
      <c r="Y411" s="416"/>
      <c r="Z411" s="416"/>
      <c r="AA411" s="416"/>
      <c r="AB411" s="416"/>
      <c r="AC411" s="416"/>
      <c r="AD411" s="416"/>
      <c r="AE411" s="416"/>
      <c r="AF411" s="416"/>
      <c r="AG411" s="416"/>
      <c r="AH411" s="416"/>
      <c r="AI411" s="416"/>
      <c r="AJ411" s="416"/>
      <c r="AK411" s="416"/>
      <c r="AL411" s="416"/>
      <c r="AM411" s="416"/>
      <c r="AN411" s="416"/>
      <c r="AO411" s="416"/>
      <c r="AP411" s="416"/>
      <c r="AQ411" s="416"/>
      <c r="AR411" s="416"/>
      <c r="AS411" s="416"/>
      <c r="AT411" s="416"/>
    </row>
    <row r="412" spans="3:46" hidden="1" x14ac:dyDescent="0.2">
      <c r="C412" s="416"/>
      <c r="D412" s="416"/>
      <c r="E412" s="416"/>
      <c r="F412" s="416"/>
      <c r="G412" s="416"/>
      <c r="H412" s="416"/>
      <c r="I412" s="416">
        <v>98</v>
      </c>
      <c r="J412" s="416"/>
      <c r="K412" s="416"/>
      <c r="M412" s="416"/>
      <c r="N412" s="416"/>
      <c r="O412" s="416"/>
      <c r="P412" s="416"/>
      <c r="Q412" s="416"/>
      <c r="R412" s="416"/>
      <c r="S412" s="416"/>
      <c r="T412" s="416"/>
      <c r="U412" s="416"/>
      <c r="V412" s="416"/>
      <c r="W412" s="416"/>
      <c r="X412" s="416"/>
      <c r="Y412" s="416"/>
      <c r="Z412" s="416"/>
      <c r="AA412" s="416"/>
      <c r="AB412" s="416"/>
      <c r="AC412" s="416"/>
      <c r="AD412" s="416"/>
      <c r="AE412" s="416"/>
      <c r="AF412" s="416"/>
      <c r="AG412" s="416"/>
      <c r="AH412" s="416"/>
      <c r="AI412" s="416"/>
      <c r="AJ412" s="416"/>
      <c r="AK412" s="416"/>
      <c r="AL412" s="416"/>
      <c r="AM412" s="416"/>
      <c r="AN412" s="416"/>
      <c r="AO412" s="416"/>
      <c r="AP412" s="416"/>
      <c r="AQ412" s="416"/>
      <c r="AR412" s="416"/>
      <c r="AS412" s="416"/>
      <c r="AT412" s="416"/>
    </row>
    <row r="413" spans="3:46" hidden="1" x14ac:dyDescent="0.2">
      <c r="C413" s="416"/>
      <c r="D413" s="416"/>
      <c r="E413" s="416"/>
      <c r="F413" s="416"/>
      <c r="G413" s="416"/>
      <c r="H413" s="416"/>
      <c r="I413" s="416">
        <v>99</v>
      </c>
      <c r="J413" s="416"/>
      <c r="K413" s="416"/>
      <c r="M413" s="416"/>
      <c r="N413" s="416"/>
      <c r="O413" s="416"/>
      <c r="P413" s="416"/>
      <c r="Q413" s="416"/>
      <c r="R413" s="416"/>
      <c r="S413" s="416"/>
      <c r="T413" s="416"/>
      <c r="U413" s="416"/>
      <c r="V413" s="416"/>
      <c r="W413" s="416"/>
      <c r="X413" s="416"/>
      <c r="Y413" s="416"/>
      <c r="Z413" s="416"/>
      <c r="AA413" s="416"/>
      <c r="AB413" s="416"/>
      <c r="AC413" s="416"/>
      <c r="AD413" s="416"/>
      <c r="AE413" s="416"/>
      <c r="AF413" s="416"/>
      <c r="AG413" s="416"/>
      <c r="AH413" s="416"/>
      <c r="AI413" s="416"/>
      <c r="AJ413" s="416"/>
      <c r="AK413" s="416"/>
      <c r="AL413" s="416"/>
      <c r="AM413" s="416"/>
      <c r="AN413" s="416"/>
      <c r="AO413" s="416"/>
      <c r="AP413" s="416"/>
      <c r="AQ413" s="416"/>
      <c r="AR413" s="416"/>
      <c r="AS413" s="416"/>
      <c r="AT413" s="416"/>
    </row>
    <row r="414" spans="3:46" hidden="1" x14ac:dyDescent="0.2">
      <c r="C414" s="416"/>
      <c r="D414" s="416"/>
      <c r="E414" s="416"/>
      <c r="F414" s="416"/>
      <c r="G414" s="416"/>
      <c r="H414" s="416"/>
      <c r="I414" s="416">
        <v>100</v>
      </c>
      <c r="J414" s="416"/>
      <c r="K414" s="416"/>
      <c r="M414" s="416"/>
      <c r="N414" s="416"/>
      <c r="O414" s="416"/>
      <c r="P414" s="416"/>
      <c r="Q414" s="416"/>
      <c r="R414" s="416"/>
      <c r="S414" s="416"/>
      <c r="T414" s="416"/>
      <c r="U414" s="416"/>
      <c r="V414" s="416"/>
      <c r="W414" s="416"/>
      <c r="X414" s="416"/>
      <c r="Y414" s="416"/>
      <c r="Z414" s="416"/>
      <c r="AA414" s="416"/>
      <c r="AB414" s="416"/>
      <c r="AC414" s="416"/>
      <c r="AD414" s="416"/>
      <c r="AE414" s="416"/>
      <c r="AF414" s="416"/>
      <c r="AG414" s="416"/>
      <c r="AH414" s="416"/>
      <c r="AI414" s="416"/>
      <c r="AJ414" s="416"/>
      <c r="AK414" s="416"/>
      <c r="AL414" s="416"/>
      <c r="AM414" s="416"/>
      <c r="AN414" s="416"/>
      <c r="AO414" s="416"/>
      <c r="AP414" s="416"/>
      <c r="AQ414" s="416"/>
      <c r="AR414" s="416"/>
      <c r="AS414" s="416"/>
      <c r="AT414" s="416"/>
    </row>
    <row r="415" spans="3:46" x14ac:dyDescent="0.2">
      <c r="C415" s="416"/>
      <c r="D415" s="416"/>
      <c r="E415" s="416"/>
      <c r="F415" s="416"/>
      <c r="G415" s="416"/>
      <c r="H415" s="416"/>
      <c r="I415" s="416"/>
      <c r="J415" s="416"/>
      <c r="K415" s="416"/>
      <c r="M415" s="416"/>
      <c r="N415" s="416"/>
      <c r="O415" s="416"/>
      <c r="P415" s="416"/>
      <c r="Q415" s="416"/>
      <c r="R415" s="416"/>
      <c r="S415" s="416"/>
      <c r="T415" s="416"/>
      <c r="U415" s="416"/>
      <c r="V415" s="416"/>
      <c r="W415" s="416"/>
      <c r="X415" s="416"/>
      <c r="Y415" s="416"/>
      <c r="Z415" s="416"/>
      <c r="AA415" s="416"/>
      <c r="AB415" s="416"/>
      <c r="AC415" s="416"/>
      <c r="AD415" s="416"/>
      <c r="AE415" s="416"/>
      <c r="AF415" s="416"/>
      <c r="AG415" s="416"/>
      <c r="AH415" s="416"/>
      <c r="AI415" s="416"/>
      <c r="AJ415" s="416"/>
      <c r="AK415" s="416"/>
      <c r="AL415" s="416"/>
      <c r="AM415" s="416"/>
      <c r="AN415" s="416"/>
      <c r="AO415" s="416"/>
      <c r="AP415" s="416"/>
      <c r="AQ415" s="416"/>
      <c r="AR415" s="416"/>
      <c r="AS415" s="416"/>
      <c r="AT415" s="416"/>
    </row>
  </sheetData>
  <sheetProtection algorithmName="SHA-512" hashValue="fDGFrzhHigKhhmYYusYR5tbvgOIiAbAQBAliTIvgs71FxpwadYw2Sjf5vGAGLAteLafPRYV+/vFL5lwfeqr+nQ==" saltValue="sw72Qssw6GUohtOiU5RaJA==" spinCount="100000" sheet="1" selectLockedCells="1"/>
  <mergeCells count="1">
    <mergeCell ref="B1:C1"/>
  </mergeCells>
  <phoneticPr fontId="12" type="noConversion"/>
  <conditionalFormatting sqref="C4:C253">
    <cfRule type="expression" dxfId="10" priority="32">
      <formula>#REF!&gt;1</formula>
    </cfRule>
  </conditionalFormatting>
  <conditionalFormatting sqref="D1:E1">
    <cfRule type="cellIs" dxfId="9" priority="1" stopIfTrue="1" operator="equal">
      <formula>"X"</formula>
    </cfRule>
  </conditionalFormatting>
  <conditionalFormatting sqref="K4:K253">
    <cfRule type="cellIs" dxfId="8" priority="5" operator="lessThan">
      <formula>0</formula>
    </cfRule>
  </conditionalFormatting>
  <conditionalFormatting sqref="L2">
    <cfRule type="cellIs" dxfId="7" priority="2" operator="between">
      <formula>0</formula>
      <formula>0.499</formula>
    </cfRule>
    <cfRule type="cellIs" dxfId="6" priority="4" operator="between">
      <formula>0.5</formula>
      <formula>1</formula>
    </cfRule>
  </conditionalFormatting>
  <conditionalFormatting sqref="L4:L253">
    <cfRule type="cellIs" dxfId="5" priority="22" operator="equal">
      <formula>"Yes"</formula>
    </cfRule>
    <cfRule type="cellIs" dxfId="4" priority="23" operator="equal">
      <formula>"No"</formula>
    </cfRule>
  </conditionalFormatting>
  <conditionalFormatting sqref="AS4:AS254">
    <cfRule type="cellIs" dxfId="3" priority="14" operator="equal">
      <formula>"No"</formula>
    </cfRule>
    <cfRule type="cellIs" dxfId="2" priority="15" operator="equal">
      <formula>"Yes"</formula>
    </cfRule>
  </conditionalFormatting>
  <dataValidations count="6">
    <dataValidation type="list" allowBlank="1" showInputMessage="1" showErrorMessage="1" sqref="F4:F253" xr:uid="{E1688EE4-82BD-4A51-BC22-87D6F4B3F59A}">
      <formula1>$C$314:$C$324</formula1>
    </dataValidation>
    <dataValidation type="list" allowBlank="1" showInputMessage="1" showErrorMessage="1" sqref="G4:G253" xr:uid="{EDCA5EB7-A1DA-4DFD-AF84-5F3FA73E357E}">
      <formula1>#REF!</formula1>
    </dataValidation>
    <dataValidation type="list" allowBlank="1" showInputMessage="1" showErrorMessage="1" sqref="H4:H253" xr:uid="{43BC4F56-D147-4CD9-B22D-B9EE313B4FC7}">
      <formula1>$E$314:$E$315</formula1>
    </dataValidation>
    <dataValidation type="list" allowBlank="1" showInputMessage="1" showErrorMessage="1" sqref="I4:I253" xr:uid="{75637DDA-20DE-45BF-8159-D09F246AC7E5}">
      <formula1>$F$314:$F$318</formula1>
    </dataValidation>
    <dataValidation type="list" allowBlank="1" showInputMessage="1" showErrorMessage="1" sqref="J4:J253" xr:uid="{E59077D0-1AFF-4DC7-86BF-B768F54F7472}">
      <formula1>$G$314:$G$318</formula1>
    </dataValidation>
    <dataValidation type="list" allowBlank="1" showInputMessage="1" showErrorMessage="1" sqref="B4:B253" xr:uid="{2CF3D467-B383-4D90-959D-5C2DDDA6E4E0}">
      <formula1>$AU$3:$AU$4</formula1>
    </dataValidation>
  </dataValidations>
  <pageMargins left="0.7" right="0.7" top="0.75" bottom="0.75" header="0.3" footer="0.3"/>
  <pageSetup scale="60" fitToHeight="0" orientation="landscape" r:id="rId1"/>
  <headerFooter>
    <oddFooter>&amp;RJanuary 2025</oddFooter>
  </headerFooter>
  <rowBreaks count="5" manualBreakCount="5">
    <brk id="53" max="11" man="1"/>
    <brk id="117" max="11" man="1"/>
    <brk id="181" max="11" man="1"/>
    <brk id="226" max="11" man="1"/>
    <brk id="277" max="11" man="1"/>
  </rowBreaks>
  <colBreaks count="1" manualBreakCount="1">
    <brk id="6" max="252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3ADE0-3A37-44EA-A0E7-0C75B97DE52A}">
  <sheetPr codeName="Sheet4"/>
  <dimension ref="A1:I16"/>
  <sheetViews>
    <sheetView zoomScaleNormal="100" workbookViewId="0">
      <selection activeCell="B3" sqref="B3"/>
    </sheetView>
  </sheetViews>
  <sheetFormatPr defaultRowHeight="12.75" x14ac:dyDescent="0.2"/>
  <cols>
    <col min="1" max="1" width="13.7109375" customWidth="1"/>
    <col min="2" max="2" width="11.5703125" customWidth="1"/>
    <col min="3" max="3" width="12" customWidth="1"/>
    <col min="4" max="4" width="12.140625" customWidth="1"/>
    <col min="5" max="5" width="12.42578125" customWidth="1"/>
    <col min="6" max="6" width="11.7109375" customWidth="1"/>
    <col min="7" max="7" width="11.28515625" customWidth="1"/>
    <col min="8" max="8" width="12.85546875" customWidth="1"/>
  </cols>
  <sheetData>
    <row r="1" spans="1:9" ht="16.5" customHeight="1" thickBot="1" x14ac:dyDescent="0.25">
      <c r="A1" s="568" t="s">
        <v>2</v>
      </c>
      <c r="B1" s="772" t="str">
        <f>IF('Claimed Costs'!B7="","",'Claimed Costs'!B7)</f>
        <v/>
      </c>
      <c r="C1" s="773"/>
      <c r="D1" s="569" t="s">
        <v>3</v>
      </c>
      <c r="E1" s="570" t="str">
        <f>IF('Claimed Costs'!E7="","",'Claimed Costs'!E7)</f>
        <v/>
      </c>
      <c r="F1" s="571"/>
      <c r="G1" s="571"/>
      <c r="H1" s="571"/>
      <c r="I1" s="572"/>
    </row>
    <row r="2" spans="1:9" x14ac:dyDescent="0.2">
      <c r="A2" s="573"/>
      <c r="B2" s="574"/>
      <c r="C2" s="574"/>
      <c r="D2" s="574"/>
      <c r="E2" s="574"/>
      <c r="F2" s="574"/>
      <c r="G2" s="574"/>
      <c r="H2" s="574"/>
      <c r="I2" s="575"/>
    </row>
    <row r="3" spans="1:9" x14ac:dyDescent="0.2">
      <c r="A3" s="581" t="s">
        <v>569</v>
      </c>
      <c r="B3" s="585"/>
      <c r="C3" s="574"/>
      <c r="D3" s="580" t="s">
        <v>570</v>
      </c>
      <c r="E3" s="583" t="str">
        <f>IFERROR(B3/H7," ")</f>
        <v xml:space="preserve"> </v>
      </c>
      <c r="F3" s="574"/>
      <c r="G3" s="574"/>
      <c r="H3" s="574"/>
      <c r="I3" s="575"/>
    </row>
    <row r="4" spans="1:9" s="416" customFormat="1" x14ac:dyDescent="0.2">
      <c r="A4" s="576"/>
      <c r="B4" s="574"/>
      <c r="C4" s="574"/>
      <c r="D4" s="580"/>
      <c r="E4" s="574"/>
      <c r="F4" s="574"/>
      <c r="G4" s="574"/>
      <c r="H4" s="574"/>
      <c r="I4" s="575"/>
    </row>
    <row r="5" spans="1:9" x14ac:dyDescent="0.2">
      <c r="A5" s="573"/>
      <c r="B5" s="574"/>
      <c r="C5" s="574"/>
      <c r="D5" s="574"/>
      <c r="E5" s="574"/>
      <c r="F5" s="574"/>
      <c r="G5" s="574"/>
      <c r="H5" s="574"/>
      <c r="I5" s="575"/>
    </row>
    <row r="6" spans="1:9" x14ac:dyDescent="0.2">
      <c r="A6" s="567" t="s">
        <v>550</v>
      </c>
      <c r="B6" s="567" t="s">
        <v>571</v>
      </c>
      <c r="C6" s="567" t="s">
        <v>572</v>
      </c>
      <c r="D6" s="567" t="s">
        <v>573</v>
      </c>
      <c r="E6" s="567" t="s">
        <v>574</v>
      </c>
      <c r="F6" s="567" t="s">
        <v>575</v>
      </c>
      <c r="G6" s="567" t="s">
        <v>576</v>
      </c>
      <c r="H6" s="567" t="s">
        <v>577</v>
      </c>
      <c r="I6" s="575"/>
    </row>
    <row r="7" spans="1:9" x14ac:dyDescent="0.2">
      <c r="A7" s="584"/>
      <c r="B7" s="584"/>
      <c r="C7" s="584"/>
      <c r="D7" s="584"/>
      <c r="E7" s="584"/>
      <c r="F7" s="584"/>
      <c r="G7" s="584"/>
      <c r="H7" s="582">
        <f>SUM(A7:G7)</f>
        <v>0</v>
      </c>
      <c r="I7" s="575"/>
    </row>
    <row r="8" spans="1:9" x14ac:dyDescent="0.2">
      <c r="A8" s="573"/>
      <c r="B8" s="574"/>
      <c r="C8" s="574"/>
      <c r="D8" s="574"/>
      <c r="E8" s="574"/>
      <c r="F8" s="574"/>
      <c r="G8" s="574"/>
      <c r="H8" s="574"/>
      <c r="I8" s="575"/>
    </row>
    <row r="9" spans="1:9" x14ac:dyDescent="0.2">
      <c r="A9" s="573"/>
      <c r="B9" s="574"/>
      <c r="C9" s="574"/>
      <c r="D9" s="574"/>
      <c r="E9" s="574"/>
      <c r="F9" s="574"/>
      <c r="G9" s="574"/>
      <c r="H9" s="574"/>
      <c r="I9" s="575"/>
    </row>
    <row r="10" spans="1:9" x14ac:dyDescent="0.2">
      <c r="A10" s="573"/>
      <c r="B10" s="574"/>
      <c r="C10" s="574"/>
      <c r="D10" s="574"/>
      <c r="E10" s="574"/>
      <c r="F10" s="574"/>
      <c r="G10" s="574"/>
      <c r="H10" s="574"/>
      <c r="I10" s="575"/>
    </row>
    <row r="11" spans="1:9" x14ac:dyDescent="0.2">
      <c r="A11" s="573"/>
      <c r="B11" s="574"/>
      <c r="C11" s="574"/>
      <c r="D11" s="574"/>
      <c r="E11" s="574"/>
      <c r="F11" s="574"/>
      <c r="G11" s="574"/>
      <c r="H11" s="574"/>
      <c r="I11" s="575"/>
    </row>
    <row r="12" spans="1:9" x14ac:dyDescent="0.2">
      <c r="A12" s="573"/>
      <c r="B12" s="574"/>
      <c r="C12" s="574"/>
      <c r="D12" s="574"/>
      <c r="E12" s="574"/>
      <c r="F12" s="574"/>
      <c r="G12" s="574"/>
      <c r="H12" s="574"/>
      <c r="I12" s="575"/>
    </row>
    <row r="13" spans="1:9" x14ac:dyDescent="0.2">
      <c r="A13" s="573"/>
      <c r="B13" s="574"/>
      <c r="C13" s="574"/>
      <c r="D13" s="574"/>
      <c r="E13" s="574"/>
      <c r="F13" s="574"/>
      <c r="G13" s="574"/>
      <c r="H13" s="574"/>
      <c r="I13" s="575"/>
    </row>
    <row r="14" spans="1:9" x14ac:dyDescent="0.2">
      <c r="A14" s="573"/>
      <c r="B14" s="574"/>
      <c r="C14" s="574"/>
      <c r="D14" s="574"/>
      <c r="E14" s="574"/>
      <c r="F14" s="574"/>
      <c r="G14" s="574"/>
      <c r="H14" s="574"/>
      <c r="I14" s="575"/>
    </row>
    <row r="15" spans="1:9" x14ac:dyDescent="0.2">
      <c r="A15" s="573"/>
      <c r="B15" s="574"/>
      <c r="C15" s="574"/>
      <c r="D15" s="574"/>
      <c r="E15" s="574"/>
      <c r="F15" s="574"/>
      <c r="G15" s="574"/>
      <c r="H15" s="574"/>
      <c r="I15" s="575"/>
    </row>
    <row r="16" spans="1:9" ht="13.5" thickBot="1" x14ac:dyDescent="0.25">
      <c r="A16" s="577"/>
      <c r="B16" s="578"/>
      <c r="C16" s="578"/>
      <c r="D16" s="578"/>
      <c r="E16" s="578"/>
      <c r="F16" s="578"/>
      <c r="G16" s="578"/>
      <c r="H16" s="578"/>
      <c r="I16" s="579"/>
    </row>
  </sheetData>
  <sheetProtection algorithmName="SHA-512" hashValue="TdJUbGa9ho2Np3G79GwiYGUHwIuzK1BUX3ISv7DBbii9MzJSinzCLGhM1JuQQDZcDDJ5rrP7MTWHC1JSTw6SyQ==" saltValue="0DmbHQiIBsxfIXZT4/yYGA==" spinCount="100000" sheet="1" objects="1" scenarios="1" selectLockedCells="1"/>
  <mergeCells count="1">
    <mergeCell ref="B1:C1"/>
  </mergeCells>
  <conditionalFormatting sqref="D1:E1">
    <cfRule type="cellIs" dxfId="1" priority="1" stopIfTrue="1" operator="equal">
      <formula>"X"</formula>
    </cfRule>
  </conditionalFormatting>
  <pageMargins left="0.7" right="0.7" top="0.75" bottom="0.75" header="0.3" footer="0.3"/>
  <pageSetup scale="86" orientation="portrait" verticalDpi="0" r:id="rId1"/>
  <headerFooter>
    <oddFooter>&amp;RJanuary 2025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1E044-C3C5-4148-82E7-56C58C5326F2}">
  <sheetPr codeName="Sheet6"/>
  <dimension ref="A1:V49"/>
  <sheetViews>
    <sheetView workbookViewId="0">
      <selection activeCell="A2" sqref="A2"/>
    </sheetView>
  </sheetViews>
  <sheetFormatPr defaultRowHeight="12.75" x14ac:dyDescent="0.2"/>
  <cols>
    <col min="1" max="1" width="13.5703125" customWidth="1"/>
    <col min="3" max="3" width="12.5703125" customWidth="1"/>
    <col min="4" max="4" width="12.42578125" customWidth="1"/>
    <col min="5" max="5" width="16.42578125" customWidth="1"/>
    <col min="6" max="6" width="23" customWidth="1"/>
    <col min="7" max="7" width="12.5703125" customWidth="1"/>
    <col min="8" max="8" width="12.7109375" customWidth="1"/>
    <col min="9" max="9" width="12.42578125" customWidth="1"/>
    <col min="12" max="12" width="12.85546875" customWidth="1"/>
    <col min="13" max="13" width="13.5703125" customWidth="1"/>
    <col min="16" max="16" width="24.28515625" customWidth="1"/>
    <col min="17" max="17" width="25.28515625" customWidth="1"/>
    <col min="18" max="18" width="21.5703125" customWidth="1"/>
  </cols>
  <sheetData>
    <row r="1" spans="1:22" ht="15.75" x14ac:dyDescent="0.25">
      <c r="A1" s="309" t="s">
        <v>578</v>
      </c>
      <c r="B1" s="309"/>
      <c r="C1" s="309"/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310"/>
      <c r="O1" s="310"/>
      <c r="P1" s="310"/>
      <c r="Q1" s="310"/>
      <c r="R1" s="310"/>
      <c r="S1" s="310"/>
      <c r="T1" s="416"/>
      <c r="U1" s="416"/>
      <c r="V1" s="416"/>
    </row>
    <row r="2" spans="1:22" ht="15" x14ac:dyDescent="0.2">
      <c r="A2" s="310"/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416"/>
      <c r="U2" s="416"/>
      <c r="V2" s="416"/>
    </row>
    <row r="3" spans="1:22" ht="12.75" customHeight="1" x14ac:dyDescent="0.2">
      <c r="A3" s="311" t="s">
        <v>579</v>
      </c>
      <c r="B3" s="311" t="s">
        <v>579</v>
      </c>
      <c r="C3" s="311" t="s">
        <v>579</v>
      </c>
      <c r="D3" s="311" t="s">
        <v>579</v>
      </c>
      <c r="E3" s="777" t="s">
        <v>580</v>
      </c>
      <c r="F3" s="752" t="s">
        <v>547</v>
      </c>
      <c r="G3" s="752" t="s">
        <v>581</v>
      </c>
      <c r="H3" s="777" t="s">
        <v>582</v>
      </c>
      <c r="I3" s="311" t="s">
        <v>579</v>
      </c>
      <c r="J3" s="311" t="s">
        <v>579</v>
      </c>
      <c r="K3" s="311" t="s">
        <v>579</v>
      </c>
      <c r="L3" s="311" t="s">
        <v>579</v>
      </c>
      <c r="M3" s="311" t="s">
        <v>579</v>
      </c>
      <c r="N3" s="310"/>
      <c r="O3" s="310"/>
      <c r="P3" s="310"/>
      <c r="Q3" s="310"/>
      <c r="R3" s="310"/>
      <c r="S3" s="310"/>
      <c r="T3" s="416"/>
      <c r="U3" s="416"/>
      <c r="V3" s="416"/>
    </row>
    <row r="4" spans="1:22" ht="60" customHeight="1" x14ac:dyDescent="0.2">
      <c r="A4" s="310"/>
      <c r="B4" s="310"/>
      <c r="C4" s="310"/>
      <c r="D4" s="310"/>
      <c r="E4" s="778"/>
      <c r="F4" s="778"/>
      <c r="G4" s="778"/>
      <c r="H4" s="778"/>
      <c r="I4" s="310"/>
      <c r="J4" s="310"/>
      <c r="K4" s="312" t="s">
        <v>583</v>
      </c>
      <c r="L4" s="312" t="s">
        <v>530</v>
      </c>
      <c r="M4" s="312" t="s">
        <v>548</v>
      </c>
      <c r="N4" s="312" t="s">
        <v>535</v>
      </c>
      <c r="O4" s="312" t="s">
        <v>584</v>
      </c>
      <c r="P4" s="312" t="s">
        <v>534</v>
      </c>
      <c r="Q4" s="312" t="s">
        <v>533</v>
      </c>
      <c r="R4" s="312" t="s">
        <v>585</v>
      </c>
      <c r="S4" s="310"/>
      <c r="T4" s="416"/>
      <c r="U4" s="774" t="s">
        <v>586</v>
      </c>
      <c r="V4" s="774"/>
    </row>
    <row r="5" spans="1:22" ht="15.75" x14ac:dyDescent="0.25">
      <c r="A5" s="313">
        <v>162000</v>
      </c>
      <c r="B5" s="310" t="s">
        <v>587</v>
      </c>
      <c r="C5" s="310"/>
      <c r="D5" s="310" t="s">
        <v>588</v>
      </c>
      <c r="E5" s="656">
        <v>111</v>
      </c>
      <c r="F5" s="656">
        <v>96</v>
      </c>
      <c r="G5" s="656">
        <v>26</v>
      </c>
      <c r="H5" s="349">
        <f>SUM(F5:G5)</f>
        <v>122</v>
      </c>
      <c r="I5" s="314"/>
      <c r="J5" s="310"/>
      <c r="K5" s="657">
        <v>29</v>
      </c>
      <c r="L5" s="658">
        <v>20</v>
      </c>
      <c r="M5" s="658">
        <v>42</v>
      </c>
      <c r="N5" s="658">
        <v>94</v>
      </c>
      <c r="O5" s="658">
        <v>65</v>
      </c>
      <c r="P5" s="658">
        <v>54</v>
      </c>
      <c r="Q5" s="658">
        <v>31</v>
      </c>
      <c r="R5" s="658">
        <v>17</v>
      </c>
      <c r="S5" s="310"/>
      <c r="T5" s="416"/>
      <c r="U5" s="416" t="e" cm="1">
        <f t="array" ref="U5">vlookup</f>
        <v>#NAME?</v>
      </c>
      <c r="V5" s="416"/>
    </row>
    <row r="6" spans="1:22" ht="15.75" x14ac:dyDescent="0.25">
      <c r="A6" s="315">
        <v>2780</v>
      </c>
      <c r="B6" s="310" t="s">
        <v>589</v>
      </c>
      <c r="C6" s="310"/>
      <c r="D6" s="310" t="s">
        <v>590</v>
      </c>
      <c r="E6" s="656">
        <v>127</v>
      </c>
      <c r="F6" s="656">
        <v>109</v>
      </c>
      <c r="G6" s="656">
        <v>29</v>
      </c>
      <c r="H6" s="349">
        <f t="shared" ref="H6:H10" si="0">SUM(F6:G6)</f>
        <v>138</v>
      </c>
      <c r="I6" s="314"/>
      <c r="J6" s="310"/>
      <c r="K6" s="657">
        <v>34</v>
      </c>
      <c r="L6" s="658">
        <v>23</v>
      </c>
      <c r="M6" s="658">
        <v>84</v>
      </c>
      <c r="N6" s="658">
        <v>111</v>
      </c>
      <c r="O6" s="658">
        <v>77</v>
      </c>
      <c r="P6" s="658">
        <v>63</v>
      </c>
      <c r="Q6" s="658">
        <v>37</v>
      </c>
      <c r="R6" s="658">
        <v>34</v>
      </c>
      <c r="S6" s="310"/>
      <c r="T6" s="416"/>
      <c r="U6" s="416"/>
      <c r="V6" s="416"/>
    </row>
    <row r="7" spans="1:22" ht="15.75" x14ac:dyDescent="0.25">
      <c r="A7" s="316">
        <v>0.3</v>
      </c>
      <c r="B7" s="310" t="s">
        <v>591</v>
      </c>
      <c r="C7" s="310"/>
      <c r="D7" s="310" t="s">
        <v>592</v>
      </c>
      <c r="E7" s="656">
        <v>170</v>
      </c>
      <c r="F7" s="656">
        <v>144</v>
      </c>
      <c r="G7" s="656">
        <v>33</v>
      </c>
      <c r="H7" s="349">
        <f t="shared" si="0"/>
        <v>177</v>
      </c>
      <c r="I7" s="314"/>
      <c r="J7" s="310"/>
      <c r="K7" s="657">
        <v>49</v>
      </c>
      <c r="L7" s="658">
        <v>33</v>
      </c>
      <c r="M7" s="658">
        <v>169</v>
      </c>
      <c r="N7" s="658">
        <v>127</v>
      </c>
      <c r="O7" s="658">
        <v>89</v>
      </c>
      <c r="P7" s="658">
        <v>84</v>
      </c>
      <c r="Q7" s="658">
        <v>50</v>
      </c>
      <c r="R7" s="658">
        <v>69</v>
      </c>
      <c r="S7" s="310"/>
      <c r="T7" s="416"/>
      <c r="U7" s="416"/>
      <c r="V7" s="416"/>
    </row>
    <row r="8" spans="1:22" ht="15.75" x14ac:dyDescent="0.25">
      <c r="A8" s="310"/>
      <c r="B8" s="310"/>
      <c r="C8" s="310"/>
      <c r="D8" s="310" t="s">
        <v>593</v>
      </c>
      <c r="E8" s="656">
        <v>212</v>
      </c>
      <c r="F8" s="656">
        <v>178</v>
      </c>
      <c r="G8" s="656">
        <v>37</v>
      </c>
      <c r="H8" s="349">
        <f t="shared" si="0"/>
        <v>215</v>
      </c>
      <c r="I8" s="314"/>
      <c r="J8" s="310"/>
      <c r="K8" s="657">
        <v>64</v>
      </c>
      <c r="L8" s="658">
        <v>44</v>
      </c>
      <c r="M8" s="658">
        <v>211</v>
      </c>
      <c r="N8" s="658">
        <v>142</v>
      </c>
      <c r="O8" s="658">
        <v>98</v>
      </c>
      <c r="P8" s="658">
        <v>105</v>
      </c>
      <c r="Q8" s="658">
        <v>64</v>
      </c>
      <c r="R8" s="658">
        <v>86</v>
      </c>
      <c r="S8" s="310"/>
      <c r="T8" s="416"/>
      <c r="U8" s="416"/>
      <c r="V8" s="416"/>
    </row>
    <row r="9" spans="1:22" ht="15.75" x14ac:dyDescent="0.25">
      <c r="A9" s="310"/>
      <c r="B9" s="310"/>
      <c r="C9" s="310"/>
      <c r="D9" s="310" t="s">
        <v>594</v>
      </c>
      <c r="E9" s="656">
        <v>255</v>
      </c>
      <c r="F9" s="656">
        <v>213</v>
      </c>
      <c r="G9" s="656">
        <v>41</v>
      </c>
      <c r="H9" s="349">
        <f t="shared" si="0"/>
        <v>254</v>
      </c>
      <c r="I9" s="314"/>
      <c r="J9" s="310"/>
      <c r="K9" s="657">
        <v>79</v>
      </c>
      <c r="L9" s="658">
        <v>54</v>
      </c>
      <c r="M9" s="658">
        <v>254</v>
      </c>
      <c r="N9" s="658">
        <v>158</v>
      </c>
      <c r="O9" s="658">
        <v>109</v>
      </c>
      <c r="P9" s="658">
        <v>126</v>
      </c>
      <c r="Q9" s="658">
        <v>76</v>
      </c>
      <c r="R9" s="658">
        <v>104</v>
      </c>
      <c r="S9" s="310"/>
      <c r="T9" s="416"/>
      <c r="U9" s="416"/>
      <c r="V9" s="416"/>
    </row>
    <row r="10" spans="1:22" ht="15.75" x14ac:dyDescent="0.25">
      <c r="A10" s="310"/>
      <c r="B10" s="310"/>
      <c r="C10" s="310"/>
      <c r="D10" s="310" t="s">
        <v>595</v>
      </c>
      <c r="E10" s="656">
        <v>298</v>
      </c>
      <c r="F10" s="656">
        <v>248</v>
      </c>
      <c r="G10" s="656">
        <v>45</v>
      </c>
      <c r="H10" s="349">
        <f t="shared" si="0"/>
        <v>293</v>
      </c>
      <c r="I10" s="314"/>
      <c r="J10" s="310"/>
      <c r="K10" s="657">
        <v>93</v>
      </c>
      <c r="L10" s="658">
        <v>64</v>
      </c>
      <c r="M10" s="658">
        <v>296</v>
      </c>
      <c r="N10" s="658">
        <v>174</v>
      </c>
      <c r="O10" s="658">
        <v>120</v>
      </c>
      <c r="P10" s="658">
        <v>147</v>
      </c>
      <c r="Q10" s="658">
        <v>87</v>
      </c>
      <c r="R10" s="658">
        <v>121</v>
      </c>
      <c r="S10" s="310"/>
      <c r="T10" s="416"/>
      <c r="U10" s="416"/>
      <c r="V10" s="416"/>
    </row>
    <row r="11" spans="1:22" ht="15" x14ac:dyDescent="0.2">
      <c r="A11" s="310"/>
      <c r="B11" s="310"/>
      <c r="C11" s="310"/>
      <c r="D11" s="310"/>
      <c r="E11" s="310"/>
      <c r="F11" s="310"/>
      <c r="G11" s="310"/>
      <c r="H11" s="310"/>
      <c r="I11" s="310"/>
      <c r="J11" s="310"/>
      <c r="K11" s="310"/>
      <c r="L11" s="310"/>
      <c r="M11" s="310"/>
      <c r="N11" s="310"/>
      <c r="O11" s="310"/>
      <c r="P11" s="310"/>
      <c r="Q11" s="310"/>
      <c r="R11" s="310"/>
      <c r="S11" s="310"/>
      <c r="T11" s="416"/>
      <c r="U11" s="416"/>
      <c r="V11" s="416"/>
    </row>
    <row r="12" spans="1:22" ht="15.75" x14ac:dyDescent="0.25">
      <c r="A12" s="310"/>
      <c r="B12" s="310"/>
      <c r="C12" s="310"/>
      <c r="D12" s="310" t="s">
        <v>596</v>
      </c>
      <c r="E12" s="317">
        <v>45658</v>
      </c>
      <c r="F12" s="416"/>
      <c r="G12" s="310"/>
      <c r="H12" s="310"/>
      <c r="I12" s="310"/>
      <c r="J12" s="310"/>
      <c r="K12" s="310"/>
      <c r="L12" s="310"/>
      <c r="M12" s="310"/>
      <c r="N12" s="310"/>
      <c r="O12" s="310"/>
      <c r="P12" s="310"/>
      <c r="Q12" s="310"/>
      <c r="R12" s="310"/>
      <c r="S12" s="310"/>
      <c r="T12" s="416"/>
      <c r="U12" s="416"/>
      <c r="V12" s="416"/>
    </row>
    <row r="13" spans="1:22" ht="15.75" x14ac:dyDescent="0.25">
      <c r="A13" s="318" t="s">
        <v>597</v>
      </c>
      <c r="B13" s="318"/>
      <c r="C13" s="318"/>
      <c r="D13" s="318"/>
      <c r="E13" s="318"/>
      <c r="F13" s="318"/>
      <c r="G13" s="318"/>
      <c r="H13" s="318"/>
      <c r="I13" s="318"/>
      <c r="J13" s="318"/>
      <c r="K13" s="318"/>
      <c r="L13" s="318"/>
      <c r="M13" s="310"/>
      <c r="N13" s="310"/>
      <c r="O13" s="310"/>
      <c r="P13" s="310"/>
      <c r="Q13" s="310"/>
      <c r="R13" s="310"/>
      <c r="S13" s="310"/>
      <c r="T13" s="416"/>
      <c r="U13" s="416"/>
      <c r="V13" s="416"/>
    </row>
    <row r="14" spans="1:22" ht="15.75" x14ac:dyDescent="0.25">
      <c r="A14" s="309"/>
      <c r="B14" s="310"/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416"/>
      <c r="U14" s="416"/>
      <c r="V14" s="416"/>
    </row>
    <row r="15" spans="1:22" ht="15" x14ac:dyDescent="0.2">
      <c r="A15" s="310"/>
      <c r="B15" s="310"/>
      <c r="C15" s="310"/>
      <c r="D15" s="310"/>
      <c r="E15" s="310"/>
      <c r="F15" s="310">
        <f>ROUNDDOWN(D22*$A$7/12,0)</f>
        <v>2268</v>
      </c>
      <c r="G15" s="348" t="e">
        <f>E22-VLOOKUP(A22,$D$5:$H$10,3,FALSE)</f>
        <v>#N/A</v>
      </c>
      <c r="H15" s="310"/>
      <c r="I15" s="310"/>
      <c r="J15" s="310"/>
      <c r="K15" s="310"/>
      <c r="L15" s="310"/>
      <c r="M15" s="310"/>
      <c r="N15" s="310"/>
      <c r="O15" s="310"/>
      <c r="P15" s="310" t="s">
        <v>598</v>
      </c>
      <c r="Q15" s="310"/>
      <c r="R15" s="310"/>
      <c r="S15" s="310"/>
      <c r="T15" s="416"/>
      <c r="U15" s="416"/>
      <c r="V15" s="416"/>
    </row>
    <row r="16" spans="1:22" ht="15" x14ac:dyDescent="0.2">
      <c r="A16" s="310"/>
      <c r="B16" s="310"/>
      <c r="C16" s="310"/>
      <c r="D16" s="310"/>
      <c r="E16" s="310"/>
      <c r="F16" s="310"/>
      <c r="G16" s="310"/>
      <c r="H16" s="310"/>
      <c r="I16" s="310"/>
      <c r="J16" s="310"/>
      <c r="K16" s="310"/>
      <c r="L16" s="310"/>
      <c r="M16" s="310"/>
      <c r="N16" s="310"/>
      <c r="O16" s="310"/>
      <c r="P16" s="319" t="s">
        <v>599</v>
      </c>
      <c r="Q16" s="319" t="s">
        <v>600</v>
      </c>
      <c r="R16" s="319" t="s">
        <v>601</v>
      </c>
      <c r="S16" s="310"/>
      <c r="T16" s="416"/>
      <c r="U16" s="416"/>
      <c r="V16" s="416"/>
    </row>
    <row r="17" spans="1:19" ht="15.75" x14ac:dyDescent="0.25">
      <c r="A17" s="320">
        <v>0.8</v>
      </c>
      <c r="B17" s="321" t="s">
        <v>602</v>
      </c>
      <c r="C17" s="322">
        <f>IF($A$17=50%,CEILING(MROUND(MROUND($A$5*50%,50)*$A$17/50%,50)*L23,50),CEILING(MROUND($A$5*50%,50)*L23,50)*$A$17/50%)</f>
        <v>129600</v>
      </c>
      <c r="D17" s="311" t="s">
        <v>587</v>
      </c>
      <c r="E17" s="310"/>
      <c r="F17" s="311" t="s">
        <v>579</v>
      </c>
      <c r="G17" s="311" t="s">
        <v>579</v>
      </c>
      <c r="H17" s="311" t="s">
        <v>579</v>
      </c>
      <c r="I17" s="311" t="s">
        <v>579</v>
      </c>
      <c r="J17" s="311" t="s">
        <v>579</v>
      </c>
      <c r="K17" s="311" t="s">
        <v>579</v>
      </c>
      <c r="L17" s="311" t="s">
        <v>579</v>
      </c>
      <c r="M17" s="310"/>
      <c r="N17" s="310"/>
      <c r="O17" s="310"/>
      <c r="P17" s="323" t="s">
        <v>579</v>
      </c>
      <c r="Q17" s="324" t="s">
        <v>562</v>
      </c>
      <c r="R17" s="324" t="s">
        <v>561</v>
      </c>
      <c r="S17" s="310">
        <v>0</v>
      </c>
    </row>
    <row r="18" spans="1:19" ht="15" x14ac:dyDescent="0.2">
      <c r="A18" s="310"/>
      <c r="B18" s="325"/>
      <c r="C18" s="310"/>
      <c r="D18" s="310"/>
      <c r="E18" s="326" t="s">
        <v>603</v>
      </c>
      <c r="F18" s="327" t="s">
        <v>603</v>
      </c>
      <c r="G18" s="327" t="s">
        <v>603</v>
      </c>
      <c r="H18" s="327" t="s">
        <v>603</v>
      </c>
      <c r="I18" s="327" t="s">
        <v>603</v>
      </c>
      <c r="J18" s="310"/>
      <c r="K18" s="328" t="s">
        <v>579</v>
      </c>
      <c r="L18" s="329" t="s">
        <v>579</v>
      </c>
      <c r="M18" s="330" t="s">
        <v>604</v>
      </c>
      <c r="N18" s="310"/>
      <c r="O18" s="310"/>
      <c r="P18" s="324" t="s">
        <v>605</v>
      </c>
      <c r="Q18" s="324" t="s">
        <v>565</v>
      </c>
      <c r="R18" s="324" t="s">
        <v>564</v>
      </c>
      <c r="S18" s="310">
        <v>1</v>
      </c>
    </row>
    <row r="19" spans="1:19" ht="12.75" customHeight="1" x14ac:dyDescent="0.25">
      <c r="A19" s="331" t="s">
        <v>579</v>
      </c>
      <c r="B19" s="332" t="s">
        <v>579</v>
      </c>
      <c r="C19" s="332" t="s">
        <v>579</v>
      </c>
      <c r="D19" s="332" t="s">
        <v>579</v>
      </c>
      <c r="E19" s="775" t="s">
        <v>606</v>
      </c>
      <c r="F19" s="779" t="s">
        <v>607</v>
      </c>
      <c r="G19" s="775" t="s">
        <v>580</v>
      </c>
      <c r="H19" s="775" t="s">
        <v>608</v>
      </c>
      <c r="I19" s="775" t="s">
        <v>609</v>
      </c>
      <c r="J19" s="310"/>
      <c r="K19" s="333" t="s">
        <v>610</v>
      </c>
      <c r="L19" s="334" t="s">
        <v>611</v>
      </c>
      <c r="M19" s="335" t="s">
        <v>612</v>
      </c>
      <c r="N19" s="310"/>
      <c r="O19" s="310"/>
      <c r="P19" s="324" t="s">
        <v>613</v>
      </c>
      <c r="Q19" s="324" t="s">
        <v>561</v>
      </c>
      <c r="R19" s="324" t="s">
        <v>565</v>
      </c>
      <c r="S19" s="310">
        <v>2</v>
      </c>
    </row>
    <row r="20" spans="1:19" ht="15.75" x14ac:dyDescent="0.25">
      <c r="A20" s="333" t="s">
        <v>579</v>
      </c>
      <c r="B20" s="334" t="s">
        <v>579</v>
      </c>
      <c r="C20" s="334" t="s">
        <v>579</v>
      </c>
      <c r="D20" s="334" t="s">
        <v>604</v>
      </c>
      <c r="E20" s="775"/>
      <c r="F20" s="775"/>
      <c r="G20" s="775"/>
      <c r="H20" s="775"/>
      <c r="I20" s="775"/>
      <c r="J20" s="310"/>
      <c r="K20" s="336">
        <f t="shared" ref="K20:K26" si="1">K21-1</f>
        <v>1</v>
      </c>
      <c r="L20" s="660">
        <v>0.7</v>
      </c>
      <c r="M20" s="337">
        <f>IF($A$17=50%,CEILING(MROUND(MROUND($A$5*50%,50)*$A$17/50%,50)*L20,50),CEILING(MROUND($A$5*50%,50)*L20,50)*$A$17/50%)</f>
        <v>90720</v>
      </c>
      <c r="N20" s="310"/>
      <c r="O20" s="310"/>
      <c r="P20" s="338" t="s">
        <v>614</v>
      </c>
      <c r="Q20" s="324" t="s">
        <v>564</v>
      </c>
      <c r="R20" s="324" t="s">
        <v>567</v>
      </c>
      <c r="S20" s="310">
        <v>3</v>
      </c>
    </row>
    <row r="21" spans="1:19" ht="15.75" x14ac:dyDescent="0.25">
      <c r="A21" s="339" t="s">
        <v>579</v>
      </c>
      <c r="B21" s="340" t="s">
        <v>615</v>
      </c>
      <c r="C21" s="340" t="s">
        <v>616</v>
      </c>
      <c r="D21" s="341" t="s">
        <v>612</v>
      </c>
      <c r="E21" s="776"/>
      <c r="F21" s="780"/>
      <c r="G21" s="780"/>
      <c r="H21" s="776"/>
      <c r="I21" s="776"/>
      <c r="J21" s="312"/>
      <c r="K21" s="336">
        <f t="shared" si="1"/>
        <v>2</v>
      </c>
      <c r="L21" s="661">
        <f>L20+0.1</f>
        <v>0.79999999999999993</v>
      </c>
      <c r="M21" s="337">
        <f t="shared" ref="M21:M27" si="2">IF($A$17=50%,CEILING(MROUND(MROUND($A$5*50%,50)*$A$17/50%,50)*L21,50),CEILING(MROUND($A$5*50%,50)*L21,50)*$A$17/50%)</f>
        <v>103680</v>
      </c>
      <c r="N21" s="310"/>
      <c r="O21" s="310"/>
      <c r="P21" s="324" t="s">
        <v>579</v>
      </c>
      <c r="Q21" s="324" t="s">
        <v>614</v>
      </c>
      <c r="R21" s="324" t="s">
        <v>614</v>
      </c>
      <c r="S21" s="310">
        <v>4</v>
      </c>
    </row>
    <row r="22" spans="1:19" ht="15.75" x14ac:dyDescent="0.25">
      <c r="A22" s="342">
        <v>0</v>
      </c>
      <c r="B22" s="343">
        <v>1</v>
      </c>
      <c r="C22" s="343">
        <v>0.7</v>
      </c>
      <c r="D22" s="655">
        <f>M20</f>
        <v>90720</v>
      </c>
      <c r="E22" s="344">
        <f>ROUNDDOWN(D22*$A$7/12,0)</f>
        <v>2268</v>
      </c>
      <c r="F22" s="345">
        <f>Q5</f>
        <v>31</v>
      </c>
      <c r="G22" s="346" t="e">
        <f t="shared" ref="G22:G27" si="3">E22-VLOOKUP(A22,$D$5:$G$10,2,FALSE)</f>
        <v>#N/A</v>
      </c>
      <c r="H22" s="347" t="e">
        <f t="shared" ref="H22:H27" si="4">E22-VLOOKUP(A22,$D$5:$H$10,4,FALSE)</f>
        <v>#N/A</v>
      </c>
      <c r="I22" s="347" t="e">
        <f t="shared" ref="I22:I27" si="5">E22-VLOOKUP(A22,$D$5:$H$10,5,FALSE)</f>
        <v>#N/A</v>
      </c>
      <c r="J22" s="310"/>
      <c r="K22" s="336">
        <f t="shared" si="1"/>
        <v>3</v>
      </c>
      <c r="L22" s="661">
        <f>L21+0.1</f>
        <v>0.89999999999999991</v>
      </c>
      <c r="M22" s="337">
        <f t="shared" si="2"/>
        <v>116640</v>
      </c>
      <c r="N22" s="310"/>
      <c r="O22" s="310"/>
      <c r="P22" s="338" t="s">
        <v>579</v>
      </c>
      <c r="Q22" s="323" t="s">
        <v>579</v>
      </c>
      <c r="R22" s="323" t="s">
        <v>579</v>
      </c>
      <c r="S22" s="310">
        <v>5</v>
      </c>
    </row>
    <row r="23" spans="1:19" ht="15.75" x14ac:dyDescent="0.25">
      <c r="A23" s="342">
        <v>1</v>
      </c>
      <c r="B23" s="343">
        <v>1.5</v>
      </c>
      <c r="C23" s="343">
        <v>0.75</v>
      </c>
      <c r="D23" s="655">
        <f>AVERAGE(M20:M21)</f>
        <v>97200</v>
      </c>
      <c r="E23" s="344">
        <f t="shared" ref="E23:E27" si="6">ROUNDDOWN(D23*$A$7/12,0)</f>
        <v>2430</v>
      </c>
      <c r="F23" s="345" t="e">
        <f t="shared" ref="F23:F27" si="7">E23-VLOOKUP(A23,$D$5:$H$10,3,FALSE)</f>
        <v>#N/A</v>
      </c>
      <c r="G23" s="346" t="e">
        <f t="shared" si="3"/>
        <v>#N/A</v>
      </c>
      <c r="H23" s="347" t="e">
        <f t="shared" si="4"/>
        <v>#N/A</v>
      </c>
      <c r="I23" s="347" t="e">
        <f t="shared" si="5"/>
        <v>#N/A</v>
      </c>
      <c r="J23" s="310"/>
      <c r="K23" s="336">
        <f t="shared" si="1"/>
        <v>4</v>
      </c>
      <c r="L23" s="661">
        <f>L22+0.1</f>
        <v>0.99999999999999989</v>
      </c>
      <c r="M23" s="337">
        <f t="shared" si="2"/>
        <v>129600</v>
      </c>
      <c r="N23" s="310"/>
      <c r="O23" s="310"/>
      <c r="P23" s="338" t="s">
        <v>542</v>
      </c>
      <c r="Q23" s="323" t="s">
        <v>579</v>
      </c>
      <c r="R23" s="323" t="s">
        <v>579</v>
      </c>
      <c r="S23" s="310"/>
    </row>
    <row r="24" spans="1:19" ht="15.75" x14ac:dyDescent="0.25">
      <c r="A24" s="342">
        <v>2</v>
      </c>
      <c r="B24" s="343">
        <v>3</v>
      </c>
      <c r="C24" s="343">
        <v>0.9</v>
      </c>
      <c r="D24" s="655">
        <f>M22</f>
        <v>116640</v>
      </c>
      <c r="E24" s="344">
        <f t="shared" si="6"/>
        <v>2916</v>
      </c>
      <c r="F24" s="345" t="e">
        <f t="shared" si="7"/>
        <v>#N/A</v>
      </c>
      <c r="G24" s="346" t="e">
        <f t="shared" si="3"/>
        <v>#N/A</v>
      </c>
      <c r="H24" s="347" t="e">
        <f t="shared" si="4"/>
        <v>#N/A</v>
      </c>
      <c r="I24" s="347" t="e">
        <f t="shared" si="5"/>
        <v>#N/A</v>
      </c>
      <c r="J24" s="310"/>
      <c r="K24" s="336">
        <f t="shared" si="1"/>
        <v>5</v>
      </c>
      <c r="L24" s="661">
        <f>L23+0.08</f>
        <v>1.0799999999999998</v>
      </c>
      <c r="M24" s="337">
        <f t="shared" si="2"/>
        <v>140000</v>
      </c>
      <c r="N24" s="310"/>
      <c r="O24" s="310"/>
      <c r="P24" s="338" t="s">
        <v>614</v>
      </c>
      <c r="Q24" s="323" t="s">
        <v>579</v>
      </c>
      <c r="R24" s="323" t="s">
        <v>579</v>
      </c>
      <c r="S24" s="310"/>
    </row>
    <row r="25" spans="1:19" ht="15.75" x14ac:dyDescent="0.25">
      <c r="A25" s="342">
        <v>3</v>
      </c>
      <c r="B25" s="343">
        <v>4.5</v>
      </c>
      <c r="C25" s="343">
        <v>1.04</v>
      </c>
      <c r="D25" s="655">
        <f>AVERAGE(M23:M24)</f>
        <v>134800</v>
      </c>
      <c r="E25" s="344">
        <f t="shared" si="6"/>
        <v>3370</v>
      </c>
      <c r="F25" s="345" t="e">
        <f t="shared" si="7"/>
        <v>#N/A</v>
      </c>
      <c r="G25" s="346" t="e">
        <f t="shared" si="3"/>
        <v>#N/A</v>
      </c>
      <c r="H25" s="347" t="e">
        <f t="shared" si="4"/>
        <v>#N/A</v>
      </c>
      <c r="I25" s="347" t="e">
        <f t="shared" si="5"/>
        <v>#N/A</v>
      </c>
      <c r="J25" s="310"/>
      <c r="K25" s="336">
        <f t="shared" si="1"/>
        <v>6</v>
      </c>
      <c r="L25" s="661">
        <f>L24+0.08</f>
        <v>1.1599999999999999</v>
      </c>
      <c r="M25" s="337">
        <f t="shared" si="2"/>
        <v>150400</v>
      </c>
      <c r="N25" s="310"/>
      <c r="O25" s="310"/>
      <c r="P25" s="310"/>
      <c r="Q25" s="310"/>
      <c r="R25" s="310"/>
      <c r="S25" s="310"/>
    </row>
    <row r="26" spans="1:19" ht="15.75" x14ac:dyDescent="0.25">
      <c r="A26" s="342">
        <v>4</v>
      </c>
      <c r="B26" s="343">
        <v>6</v>
      </c>
      <c r="C26" s="343">
        <v>1.1599999999999999</v>
      </c>
      <c r="D26" s="655">
        <f>M25</f>
        <v>150400</v>
      </c>
      <c r="E26" s="344">
        <f t="shared" si="6"/>
        <v>3760</v>
      </c>
      <c r="F26" s="345" t="e">
        <f t="shared" si="7"/>
        <v>#N/A</v>
      </c>
      <c r="G26" s="346" t="e">
        <f t="shared" si="3"/>
        <v>#N/A</v>
      </c>
      <c r="H26" s="347" t="e">
        <f t="shared" si="4"/>
        <v>#N/A</v>
      </c>
      <c r="I26" s="347" t="e">
        <f t="shared" si="5"/>
        <v>#N/A</v>
      </c>
      <c r="J26" s="310"/>
      <c r="K26" s="336">
        <f t="shared" si="1"/>
        <v>7</v>
      </c>
      <c r="L26" s="661">
        <f>L25+0.08</f>
        <v>1.24</v>
      </c>
      <c r="M26" s="337">
        <f t="shared" si="2"/>
        <v>160720</v>
      </c>
      <c r="N26" s="310"/>
      <c r="O26" s="310"/>
      <c r="P26" s="310"/>
      <c r="Q26" s="310"/>
      <c r="R26" s="310"/>
      <c r="S26" s="310"/>
    </row>
    <row r="27" spans="1:19" ht="15.75" x14ac:dyDescent="0.25">
      <c r="A27" s="342">
        <v>5</v>
      </c>
      <c r="B27" s="343">
        <v>7.5</v>
      </c>
      <c r="C27" s="343">
        <v>1.28</v>
      </c>
      <c r="D27" s="655">
        <f>AVERAGE(M26:M27)</f>
        <v>165920</v>
      </c>
      <c r="E27" s="344">
        <f t="shared" si="6"/>
        <v>4148</v>
      </c>
      <c r="F27" s="345" t="e">
        <f t="shared" si="7"/>
        <v>#N/A</v>
      </c>
      <c r="G27" s="346" t="e">
        <f t="shared" si="3"/>
        <v>#N/A</v>
      </c>
      <c r="H27" s="347" t="e">
        <f t="shared" si="4"/>
        <v>#N/A</v>
      </c>
      <c r="I27" s="347" t="e">
        <f t="shared" si="5"/>
        <v>#N/A</v>
      </c>
      <c r="J27" s="310"/>
      <c r="K27" s="336">
        <v>8</v>
      </c>
      <c r="L27" s="661">
        <f>L26+0.08</f>
        <v>1.32</v>
      </c>
      <c r="M27" s="337">
        <f t="shared" si="2"/>
        <v>171120</v>
      </c>
      <c r="N27" s="310"/>
      <c r="O27" s="310"/>
      <c r="P27" s="417"/>
      <c r="Q27" s="417"/>
      <c r="R27" s="417"/>
      <c r="S27" s="417"/>
    </row>
    <row r="28" spans="1:19" ht="15" x14ac:dyDescent="0.2">
      <c r="A28" s="310"/>
      <c r="B28" s="310"/>
      <c r="C28" s="310"/>
      <c r="D28" s="310"/>
      <c r="E28" s="310"/>
      <c r="F28" s="310"/>
      <c r="G28" s="310"/>
      <c r="H28" s="310"/>
      <c r="I28" s="310"/>
      <c r="J28" s="310"/>
      <c r="K28" s="310"/>
      <c r="L28" s="310"/>
      <c r="M28" s="310"/>
      <c r="N28" s="310"/>
      <c r="O28" s="310"/>
      <c r="P28" s="300"/>
      <c r="Q28" s="300"/>
      <c r="R28" s="300"/>
      <c r="S28" s="300"/>
    </row>
    <row r="29" spans="1:19" ht="15.75" x14ac:dyDescent="0.25">
      <c r="A29" s="310"/>
      <c r="B29" s="310"/>
      <c r="C29" s="310"/>
      <c r="D29" s="310"/>
      <c r="E29" s="310"/>
      <c r="F29" s="310"/>
      <c r="G29" s="310"/>
      <c r="H29" s="310"/>
      <c r="I29" s="310"/>
      <c r="J29" s="310"/>
      <c r="K29" s="310"/>
      <c r="L29" s="310"/>
      <c r="M29" s="310"/>
      <c r="N29" s="310"/>
      <c r="O29" s="310"/>
      <c r="P29" s="300"/>
      <c r="Q29" s="314"/>
      <c r="R29" s="300"/>
      <c r="S29" s="300"/>
    </row>
    <row r="30" spans="1:19" ht="15.75" x14ac:dyDescent="0.25">
      <c r="A30" s="310"/>
      <c r="B30" s="310"/>
      <c r="C30" s="310"/>
      <c r="D30" s="310"/>
      <c r="E30" s="310"/>
      <c r="F30" s="310"/>
      <c r="G30" s="310"/>
      <c r="H30" s="310"/>
      <c r="I30" s="310"/>
      <c r="J30" s="310"/>
      <c r="K30" s="310"/>
      <c r="L30" s="310"/>
      <c r="M30" s="310"/>
      <c r="N30" s="310"/>
      <c r="O30" s="310"/>
      <c r="P30" s="314"/>
      <c r="Q30" s="300"/>
      <c r="R30" s="300"/>
      <c r="S30" s="300"/>
    </row>
    <row r="31" spans="1:19" ht="15" x14ac:dyDescent="0.2">
      <c r="A31" s="310"/>
      <c r="B31" s="310"/>
      <c r="C31" s="310"/>
      <c r="D31" s="310"/>
      <c r="E31" s="310"/>
      <c r="F31" s="310"/>
      <c r="G31" s="310"/>
      <c r="H31" s="310"/>
      <c r="I31" s="310"/>
      <c r="J31" s="310"/>
      <c r="K31" s="310"/>
      <c r="L31" s="310"/>
      <c r="M31" s="310"/>
      <c r="N31" s="310"/>
      <c r="O31" s="310"/>
      <c r="P31" s="300"/>
      <c r="Q31" s="300"/>
      <c r="R31" s="300"/>
      <c r="S31" s="300"/>
    </row>
    <row r="32" spans="1:19" ht="15" x14ac:dyDescent="0.2">
      <c r="A32" s="310"/>
      <c r="B32" s="310"/>
      <c r="C32" s="310"/>
      <c r="D32" s="310"/>
      <c r="E32" s="310"/>
      <c r="F32" s="310"/>
      <c r="G32" s="310"/>
      <c r="H32" s="310"/>
      <c r="I32" s="310"/>
      <c r="J32" s="310"/>
      <c r="K32" s="310"/>
      <c r="L32" s="310"/>
      <c r="M32" s="310"/>
      <c r="N32" s="310"/>
      <c r="O32" s="310"/>
      <c r="P32" s="300"/>
      <c r="Q32" s="300"/>
      <c r="R32" s="300"/>
      <c r="S32" s="300"/>
    </row>
    <row r="33" spans="1:19" ht="15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</row>
    <row r="34" spans="1:19" ht="15" x14ac:dyDescent="0.2">
      <c r="A34" s="310"/>
      <c r="B34" s="310"/>
      <c r="C34" s="310"/>
      <c r="D34" s="310"/>
      <c r="E34" s="310"/>
      <c r="F34" s="310"/>
      <c r="G34" s="310"/>
      <c r="H34" s="310"/>
      <c r="I34" s="310"/>
      <c r="J34" s="310"/>
      <c r="K34" s="310"/>
      <c r="L34" s="310"/>
      <c r="M34" s="310"/>
      <c r="N34" s="310"/>
      <c r="O34" s="310"/>
      <c r="P34" s="310"/>
      <c r="Q34" s="310"/>
      <c r="R34" s="310"/>
      <c r="S34" s="310"/>
    </row>
    <row r="35" spans="1:19" ht="15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</row>
    <row r="36" spans="1:19" ht="15" x14ac:dyDescent="0.2">
      <c r="A36" s="310"/>
      <c r="B36" s="310"/>
      <c r="C36" s="310"/>
      <c r="D36" s="310"/>
      <c r="E36" s="310"/>
      <c r="F36" s="310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</row>
    <row r="37" spans="1:19" ht="15" x14ac:dyDescent="0.2">
      <c r="A37" s="310"/>
      <c r="B37" s="310"/>
      <c r="C37" s="310"/>
      <c r="D37" s="310"/>
      <c r="E37" s="310"/>
      <c r="F37" s="310"/>
      <c r="G37" s="310"/>
      <c r="H37" s="310"/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</row>
    <row r="38" spans="1:19" ht="15" x14ac:dyDescent="0.2">
      <c r="A38" s="310"/>
      <c r="B38" s="310"/>
      <c r="C38" s="310"/>
      <c r="D38" s="310"/>
      <c r="E38" s="310"/>
      <c r="F38" s="310"/>
      <c r="G38" s="310"/>
      <c r="H38" s="310"/>
      <c r="I38" s="310"/>
      <c r="J38" s="310"/>
      <c r="K38" s="310"/>
      <c r="L38" s="310"/>
      <c r="M38" s="310"/>
      <c r="N38" s="310"/>
      <c r="O38" s="310"/>
      <c r="P38" s="310"/>
      <c r="Q38" s="310"/>
      <c r="R38" s="310"/>
      <c r="S38" s="310"/>
    </row>
    <row r="39" spans="1:19" ht="15" x14ac:dyDescent="0.2">
      <c r="A39" s="310"/>
      <c r="B39" s="310"/>
      <c r="C39" s="310"/>
      <c r="D39" s="310"/>
      <c r="E39" s="310"/>
      <c r="F39" s="310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</row>
    <row r="40" spans="1:19" ht="15" x14ac:dyDescent="0.2">
      <c r="A40" s="310"/>
      <c r="B40" s="310"/>
      <c r="C40" s="310"/>
      <c r="D40" s="310"/>
      <c r="E40" s="310"/>
      <c r="F40" s="310"/>
      <c r="G40" s="310"/>
      <c r="H40" s="310"/>
      <c r="I40" s="310"/>
      <c r="J40" s="310"/>
      <c r="K40" s="310"/>
      <c r="L40" s="310"/>
      <c r="M40" s="310"/>
      <c r="N40" s="310"/>
      <c r="O40" s="310"/>
      <c r="P40" s="310"/>
      <c r="Q40" s="310"/>
      <c r="R40" s="310"/>
      <c r="S40" s="310"/>
    </row>
    <row r="41" spans="1:19" ht="15" x14ac:dyDescent="0.2">
      <c r="A41" s="310"/>
      <c r="B41" s="310"/>
      <c r="C41" s="310"/>
      <c r="D41" s="310"/>
      <c r="E41" s="310"/>
      <c r="F41" s="310"/>
      <c r="G41" s="310"/>
      <c r="H41" s="310"/>
      <c r="I41" s="310"/>
      <c r="J41" s="310"/>
      <c r="K41" s="310"/>
      <c r="L41" s="310"/>
      <c r="M41" s="310"/>
      <c r="N41" s="310"/>
      <c r="O41" s="310"/>
      <c r="P41" s="310"/>
      <c r="Q41" s="310"/>
      <c r="R41" s="310"/>
      <c r="S41" s="310"/>
    </row>
    <row r="42" spans="1:19" ht="15" x14ac:dyDescent="0.2">
      <c r="A42" s="310"/>
      <c r="B42" s="310"/>
      <c r="C42" s="310"/>
      <c r="D42" s="310"/>
      <c r="E42" s="310"/>
      <c r="F42" s="310"/>
      <c r="G42" s="310"/>
      <c r="H42" s="310"/>
      <c r="I42" s="310"/>
      <c r="J42" s="310"/>
      <c r="K42" s="310"/>
      <c r="L42" s="310"/>
      <c r="M42" s="310"/>
      <c r="N42" s="310"/>
      <c r="O42" s="310"/>
      <c r="P42" s="310"/>
      <c r="Q42" s="310"/>
      <c r="R42" s="310"/>
      <c r="S42" s="310"/>
    </row>
    <row r="43" spans="1:19" ht="15" x14ac:dyDescent="0.2">
      <c r="A43" s="310"/>
      <c r="B43" s="310"/>
      <c r="C43" s="310"/>
      <c r="D43" s="310"/>
      <c r="E43" s="310"/>
      <c r="F43" s="310"/>
      <c r="G43" s="310"/>
      <c r="H43" s="310"/>
      <c r="I43" s="310"/>
      <c r="J43" s="310"/>
      <c r="K43" s="310"/>
      <c r="L43" s="310"/>
      <c r="M43" s="310"/>
      <c r="N43" s="310"/>
      <c r="O43" s="310"/>
      <c r="P43" s="310"/>
      <c r="Q43" s="310"/>
      <c r="R43" s="310"/>
      <c r="S43" s="310"/>
    </row>
    <row r="44" spans="1:19" ht="15" x14ac:dyDescent="0.2">
      <c r="A44" s="310"/>
      <c r="B44" s="310"/>
      <c r="C44" s="310"/>
      <c r="D44" s="310"/>
      <c r="E44" s="310"/>
      <c r="F44" s="310"/>
      <c r="G44" s="310"/>
      <c r="H44" s="310"/>
      <c r="I44" s="310"/>
      <c r="J44" s="310"/>
      <c r="K44" s="310"/>
      <c r="L44" s="310"/>
      <c r="M44" s="310"/>
      <c r="N44" s="310"/>
      <c r="O44" s="310"/>
      <c r="P44" s="310"/>
      <c r="Q44" s="310"/>
      <c r="R44" s="310"/>
      <c r="S44" s="310"/>
    </row>
    <row r="45" spans="1:19" ht="15" x14ac:dyDescent="0.2">
      <c r="A45" s="310"/>
      <c r="B45" s="310"/>
      <c r="C45" s="310"/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</row>
    <row r="46" spans="1:19" ht="15" x14ac:dyDescent="0.2">
      <c r="A46" s="310"/>
      <c r="B46" s="310"/>
      <c r="C46" s="310"/>
      <c r="D46" s="310"/>
      <c r="E46" s="310"/>
      <c r="F46" s="310"/>
      <c r="G46" s="310"/>
      <c r="H46" s="310"/>
      <c r="I46" s="310"/>
      <c r="J46" s="310"/>
      <c r="K46" s="310"/>
      <c r="L46" s="310"/>
      <c r="M46" s="310"/>
      <c r="N46" s="310"/>
      <c r="O46" s="310"/>
      <c r="P46" s="310"/>
      <c r="Q46" s="310"/>
      <c r="R46" s="310"/>
      <c r="S46" s="310"/>
    </row>
    <row r="47" spans="1:19" ht="15" x14ac:dyDescent="0.2">
      <c r="A47" s="310"/>
      <c r="B47" s="310"/>
      <c r="C47" s="310"/>
      <c r="D47" s="310"/>
      <c r="E47" s="310"/>
      <c r="F47" s="310"/>
      <c r="G47" s="310"/>
      <c r="H47" s="310"/>
      <c r="I47" s="310"/>
      <c r="J47" s="310"/>
      <c r="K47" s="310"/>
      <c r="L47" s="310"/>
      <c r="M47" s="310"/>
      <c r="N47" s="310"/>
      <c r="O47" s="310"/>
      <c r="P47" s="310"/>
      <c r="Q47" s="310"/>
      <c r="R47" s="310"/>
      <c r="S47" s="310"/>
    </row>
    <row r="48" spans="1:19" ht="15" x14ac:dyDescent="0.2">
      <c r="A48" s="310"/>
      <c r="B48" s="310"/>
      <c r="C48" s="310"/>
      <c r="D48" s="310"/>
      <c r="E48" s="310"/>
      <c r="F48" s="310"/>
      <c r="G48" s="310"/>
      <c r="H48" s="310"/>
      <c r="I48" s="310"/>
      <c r="J48" s="310"/>
      <c r="K48" s="310"/>
      <c r="L48" s="310"/>
      <c r="M48" s="310"/>
      <c r="N48" s="310"/>
      <c r="O48" s="310"/>
      <c r="P48" s="310"/>
      <c r="Q48" s="310"/>
      <c r="R48" s="310"/>
      <c r="S48" s="310"/>
    </row>
    <row r="49" spans="1:19" ht="15" x14ac:dyDescent="0.2">
      <c r="A49" s="310"/>
      <c r="B49" s="310"/>
      <c r="C49" s="310"/>
      <c r="D49" s="310"/>
      <c r="E49" s="310"/>
      <c r="F49" s="310"/>
      <c r="G49" s="310"/>
      <c r="H49" s="310"/>
      <c r="I49" s="310"/>
      <c r="J49" s="310"/>
      <c r="K49" s="310"/>
      <c r="L49" s="310"/>
      <c r="M49" s="310"/>
      <c r="N49" s="310"/>
      <c r="O49" s="310"/>
      <c r="P49" s="310"/>
      <c r="Q49" s="310"/>
      <c r="R49" s="310"/>
      <c r="S49" s="310"/>
    </row>
  </sheetData>
  <mergeCells count="10">
    <mergeCell ref="U4:V4"/>
    <mergeCell ref="I19:I21"/>
    <mergeCell ref="E3:E4"/>
    <mergeCell ref="F3:F4"/>
    <mergeCell ref="G3:G4"/>
    <mergeCell ref="H3:H4"/>
    <mergeCell ref="E19:E21"/>
    <mergeCell ref="F19:F21"/>
    <mergeCell ref="G19:G21"/>
    <mergeCell ref="H19:H2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4F1ED-6C61-470D-BAB1-338A28C750BF}">
  <sheetPr codeName="Sheet7"/>
  <dimension ref="A1:AJ187"/>
  <sheetViews>
    <sheetView zoomScale="70" zoomScaleNormal="70" workbookViewId="0">
      <selection activeCell="L6" sqref="L6"/>
    </sheetView>
  </sheetViews>
  <sheetFormatPr defaultRowHeight="12.75" x14ac:dyDescent="0.2"/>
  <cols>
    <col min="8" max="8" width="33.85546875" customWidth="1"/>
    <col min="14" max="14" width="17" customWidth="1"/>
    <col min="15" max="15" width="20" customWidth="1"/>
    <col min="22" max="22" width="16" customWidth="1"/>
    <col min="23" max="23" width="11.42578125" customWidth="1"/>
  </cols>
  <sheetData>
    <row r="1" spans="1:23" ht="90" thickBot="1" x14ac:dyDescent="0.25">
      <c r="A1" s="39" t="s">
        <v>617</v>
      </c>
      <c r="B1" s="39" t="s">
        <v>618</v>
      </c>
      <c r="C1" s="40" t="s">
        <v>619</v>
      </c>
      <c r="D1" s="39" t="s">
        <v>620</v>
      </c>
      <c r="E1" s="41" t="s">
        <v>621</v>
      </c>
      <c r="F1" s="41" t="s">
        <v>622</v>
      </c>
      <c r="G1" s="42"/>
      <c r="H1" s="39" t="s">
        <v>623</v>
      </c>
      <c r="I1" s="41" t="s">
        <v>624</v>
      </c>
      <c r="J1" s="41" t="s">
        <v>625</v>
      </c>
      <c r="K1" s="41" t="s">
        <v>626</v>
      </c>
      <c r="L1" s="41" t="s">
        <v>627</v>
      </c>
      <c r="M1" s="41" t="s">
        <v>628</v>
      </c>
      <c r="N1" s="43" t="s">
        <v>629</v>
      </c>
      <c r="O1" s="43" t="s">
        <v>630</v>
      </c>
      <c r="P1" s="44" t="s">
        <v>631</v>
      </c>
      <c r="Q1" s="711" t="s">
        <v>632</v>
      </c>
      <c r="R1" s="45" t="s">
        <v>633</v>
      </c>
      <c r="S1" s="45" t="s">
        <v>634</v>
      </c>
      <c r="T1" s="46" t="s">
        <v>16</v>
      </c>
      <c r="U1" s="46"/>
      <c r="V1" s="47" t="s">
        <v>635</v>
      </c>
      <c r="W1" s="48" t="s">
        <v>636</v>
      </c>
    </row>
    <row r="2" spans="1:23" x14ac:dyDescent="0.2">
      <c r="A2" s="783"/>
      <c r="B2" s="783"/>
      <c r="C2" s="783"/>
      <c r="D2" s="49"/>
      <c r="E2" s="783" t="s">
        <v>637</v>
      </c>
      <c r="F2" s="783"/>
      <c r="G2" s="783"/>
      <c r="H2" s="783"/>
      <c r="I2" s="783"/>
      <c r="J2" s="783"/>
      <c r="K2" s="783"/>
      <c r="L2" s="783"/>
      <c r="M2" s="783"/>
      <c r="N2" s="783"/>
      <c r="O2" s="710"/>
      <c r="P2" s="50"/>
      <c r="Q2" s="51"/>
      <c r="R2" s="52"/>
      <c r="S2" s="52"/>
      <c r="T2" s="37"/>
      <c r="U2" s="37"/>
      <c r="V2" s="53"/>
      <c r="W2" s="53"/>
    </row>
    <row r="3" spans="1:23" x14ac:dyDescent="0.2">
      <c r="A3" s="54"/>
      <c r="B3" s="54"/>
      <c r="C3" s="54"/>
      <c r="D3" s="55"/>
      <c r="E3" s="54"/>
      <c r="F3" s="56"/>
      <c r="G3" s="57" t="s">
        <v>638</v>
      </c>
      <c r="H3" s="54"/>
      <c r="I3" s="54"/>
      <c r="J3" s="54"/>
      <c r="K3" s="54"/>
      <c r="L3" s="54"/>
      <c r="M3" s="54"/>
      <c r="N3" s="54"/>
      <c r="O3" s="54"/>
      <c r="P3" s="58"/>
      <c r="Q3" s="37"/>
      <c r="R3" s="52"/>
      <c r="S3" s="52"/>
      <c r="T3" s="37"/>
      <c r="U3" s="37"/>
      <c r="V3" s="59"/>
      <c r="W3" s="59"/>
    </row>
    <row r="4" spans="1:23" ht="178.5" x14ac:dyDescent="0.2">
      <c r="A4" s="60">
        <v>1011</v>
      </c>
      <c r="B4" s="60">
        <v>101</v>
      </c>
      <c r="C4" s="61"/>
      <c r="D4" s="62"/>
      <c r="E4" s="63"/>
      <c r="F4" s="64"/>
      <c r="G4" s="57"/>
      <c r="H4" s="65" t="s">
        <v>23</v>
      </c>
      <c r="I4" s="711" t="s">
        <v>488</v>
      </c>
      <c r="J4" s="784" t="s">
        <v>639</v>
      </c>
      <c r="K4" s="713"/>
      <c r="L4" s="784" t="s">
        <v>640</v>
      </c>
      <c r="M4" s="786" t="s">
        <v>641</v>
      </c>
      <c r="N4" s="66">
        <v>12.19</v>
      </c>
      <c r="O4" s="66">
        <v>16.13</v>
      </c>
      <c r="P4" s="67"/>
      <c r="Q4" s="37"/>
      <c r="R4" s="68" t="s">
        <v>642</v>
      </c>
      <c r="S4" s="68" t="s">
        <v>643</v>
      </c>
      <c r="T4" s="37"/>
      <c r="U4" s="37"/>
      <c r="V4" s="59">
        <v>21.83</v>
      </c>
      <c r="W4" s="59">
        <v>22.23</v>
      </c>
    </row>
    <row r="5" spans="1:23" x14ac:dyDescent="0.2">
      <c r="A5" s="60">
        <v>1012</v>
      </c>
      <c r="B5" s="60">
        <v>101</v>
      </c>
      <c r="C5" s="61"/>
      <c r="D5" s="62"/>
      <c r="E5" s="69"/>
      <c r="F5" s="70"/>
      <c r="G5" s="71"/>
      <c r="H5" s="65" t="s">
        <v>27</v>
      </c>
      <c r="I5" s="712" t="s">
        <v>484</v>
      </c>
      <c r="J5" s="785"/>
      <c r="K5" s="72"/>
      <c r="L5" s="785"/>
      <c r="M5" s="786"/>
      <c r="N5" s="73">
        <v>7.04</v>
      </c>
      <c r="O5" s="73">
        <v>15.82</v>
      </c>
      <c r="P5" s="67"/>
      <c r="Q5" s="37"/>
      <c r="R5" s="74"/>
      <c r="S5" s="74"/>
      <c r="T5" s="75"/>
      <c r="U5" s="75"/>
      <c r="V5" s="59">
        <v>20.63</v>
      </c>
      <c r="W5" s="59">
        <v>21</v>
      </c>
    </row>
    <row r="6" spans="1:23" ht="89.25" x14ac:dyDescent="0.2">
      <c r="A6" s="60">
        <v>1020</v>
      </c>
      <c r="B6" s="60" t="s">
        <v>644</v>
      </c>
      <c r="C6" s="61"/>
      <c r="D6" s="62"/>
      <c r="E6" s="69"/>
      <c r="F6" s="70"/>
      <c r="G6" s="71"/>
      <c r="H6" s="65" t="s">
        <v>645</v>
      </c>
      <c r="I6" s="711" t="s">
        <v>646</v>
      </c>
      <c r="J6" s="713"/>
      <c r="K6" s="76"/>
      <c r="L6" s="701" t="s">
        <v>647</v>
      </c>
      <c r="M6" s="712"/>
      <c r="N6" s="66" t="s">
        <v>646</v>
      </c>
      <c r="O6" s="66" t="s">
        <v>646</v>
      </c>
      <c r="P6" s="67"/>
      <c r="Q6" s="37"/>
      <c r="R6" s="74"/>
      <c r="S6" s="74"/>
      <c r="T6" s="75"/>
      <c r="U6" s="75"/>
      <c r="V6" s="59" t="s">
        <v>646</v>
      </c>
      <c r="W6" s="59" t="s">
        <v>646</v>
      </c>
    </row>
    <row r="7" spans="1:23" x14ac:dyDescent="0.2">
      <c r="A7" s="60"/>
      <c r="B7" s="60"/>
      <c r="C7" s="61"/>
      <c r="D7" s="62"/>
      <c r="E7" s="69"/>
      <c r="F7" s="70"/>
      <c r="G7" s="57" t="s">
        <v>648</v>
      </c>
      <c r="H7" s="77"/>
      <c r="I7" s="711"/>
      <c r="J7" s="713"/>
      <c r="K7" s="76"/>
      <c r="L7" s="701"/>
      <c r="M7" s="712"/>
      <c r="N7" s="66"/>
      <c r="O7" s="66"/>
      <c r="P7" s="67"/>
      <c r="Q7" s="37"/>
      <c r="R7" s="74"/>
      <c r="S7" s="74"/>
      <c r="T7" s="75"/>
      <c r="U7" s="75"/>
      <c r="V7" s="59"/>
      <c r="W7" s="59"/>
    </row>
    <row r="8" spans="1:23" ht="140.25" x14ac:dyDescent="0.2">
      <c r="A8" s="60">
        <v>1030</v>
      </c>
      <c r="B8" s="60">
        <v>108</v>
      </c>
      <c r="C8" s="61"/>
      <c r="D8" s="62" t="s">
        <v>542</v>
      </c>
      <c r="E8" s="63"/>
      <c r="F8" s="64"/>
      <c r="G8" s="57"/>
      <c r="H8" s="78" t="s">
        <v>32</v>
      </c>
      <c r="I8" s="711" t="s">
        <v>649</v>
      </c>
      <c r="J8" s="713"/>
      <c r="K8" s="713"/>
      <c r="L8" s="713" t="s">
        <v>650</v>
      </c>
      <c r="M8" s="79">
        <v>1319.18</v>
      </c>
      <c r="N8" s="76">
        <v>4241</v>
      </c>
      <c r="O8" s="76">
        <v>4520</v>
      </c>
      <c r="P8" s="67"/>
      <c r="Q8" s="37"/>
      <c r="R8" s="68" t="s">
        <v>651</v>
      </c>
      <c r="S8" s="80" t="s">
        <v>652</v>
      </c>
      <c r="T8" s="38" t="s">
        <v>653</v>
      </c>
      <c r="U8" s="37"/>
      <c r="V8" s="59">
        <v>5014.6000000000004</v>
      </c>
      <c r="W8" s="81">
        <v>4929.1000000000004</v>
      </c>
    </row>
    <row r="9" spans="1:23" ht="331.5" x14ac:dyDescent="0.2">
      <c r="A9" s="60">
        <v>1040</v>
      </c>
      <c r="B9" s="60">
        <v>131</v>
      </c>
      <c r="C9" s="61"/>
      <c r="D9" s="62" t="s">
        <v>542</v>
      </c>
      <c r="E9" s="82"/>
      <c r="F9" s="83"/>
      <c r="G9" s="57"/>
      <c r="H9" s="78" t="s">
        <v>36</v>
      </c>
      <c r="I9" s="712" t="s">
        <v>654</v>
      </c>
      <c r="J9" s="713"/>
      <c r="K9" s="713"/>
      <c r="L9" s="713"/>
      <c r="M9" s="84">
        <v>7.5</v>
      </c>
      <c r="N9" s="85">
        <v>17</v>
      </c>
      <c r="O9" s="85">
        <v>18.350000000000001</v>
      </c>
      <c r="P9" s="86"/>
      <c r="Q9" s="37" t="s">
        <v>655</v>
      </c>
      <c r="R9" s="68" t="s">
        <v>656</v>
      </c>
      <c r="S9" s="52" t="s">
        <v>657</v>
      </c>
      <c r="T9" s="38"/>
      <c r="U9" s="37"/>
      <c r="V9" s="59">
        <v>24.19</v>
      </c>
      <c r="W9" s="59">
        <v>26.01</v>
      </c>
    </row>
    <row r="10" spans="1:23" ht="114.75" x14ac:dyDescent="0.2">
      <c r="A10" s="60">
        <v>1050</v>
      </c>
      <c r="B10" s="60">
        <v>106</v>
      </c>
      <c r="C10" s="702"/>
      <c r="D10" s="62"/>
      <c r="E10" s="87"/>
      <c r="F10" s="88"/>
      <c r="G10" s="89"/>
      <c r="H10" s="702" t="s">
        <v>39</v>
      </c>
      <c r="I10" s="712" t="s">
        <v>654</v>
      </c>
      <c r="J10" s="701"/>
      <c r="K10" s="90"/>
      <c r="L10" s="90"/>
      <c r="M10" s="84">
        <v>1</v>
      </c>
      <c r="N10" s="85">
        <v>4</v>
      </c>
      <c r="O10" s="85">
        <v>3.92</v>
      </c>
      <c r="P10" s="86"/>
      <c r="Q10" s="37" t="s">
        <v>655</v>
      </c>
      <c r="R10" s="52" t="s">
        <v>658</v>
      </c>
      <c r="S10" s="52" t="s">
        <v>659</v>
      </c>
      <c r="T10" s="38" t="s">
        <v>660</v>
      </c>
      <c r="U10" s="77"/>
      <c r="V10" s="59">
        <v>4.93</v>
      </c>
      <c r="W10" s="91">
        <v>4.93</v>
      </c>
    </row>
    <row r="11" spans="1:23" x14ac:dyDescent="0.2">
      <c r="A11" s="92"/>
      <c r="B11" s="92"/>
      <c r="C11" s="93"/>
      <c r="D11" s="94"/>
      <c r="E11" s="95"/>
      <c r="F11" s="96"/>
      <c r="G11" s="57" t="s">
        <v>661</v>
      </c>
      <c r="H11" s="78"/>
      <c r="I11" s="97"/>
      <c r="J11" s="98"/>
      <c r="K11" s="701"/>
      <c r="L11" s="701"/>
      <c r="M11" s="99"/>
      <c r="N11" s="100"/>
      <c r="O11" s="100"/>
      <c r="P11" s="101"/>
      <c r="Q11" s="37"/>
      <c r="R11" s="52"/>
      <c r="S11" s="52"/>
      <c r="T11" s="77"/>
      <c r="U11" s="77"/>
      <c r="V11" s="59"/>
      <c r="W11" s="59"/>
    </row>
    <row r="12" spans="1:23" x14ac:dyDescent="0.2">
      <c r="A12" s="60">
        <v>1060</v>
      </c>
      <c r="B12" s="60">
        <v>104</v>
      </c>
      <c r="C12" s="102"/>
      <c r="D12" s="94"/>
      <c r="E12" s="95"/>
      <c r="F12" s="96"/>
      <c r="G12" s="103"/>
      <c r="H12" s="104" t="s">
        <v>42</v>
      </c>
      <c r="I12" s="97" t="s">
        <v>662</v>
      </c>
      <c r="J12" s="98"/>
      <c r="K12" s="90"/>
      <c r="L12" s="90"/>
      <c r="M12" s="99">
        <v>1.6</v>
      </c>
      <c r="N12" s="85">
        <v>1.67</v>
      </c>
      <c r="O12" s="85">
        <v>3.05</v>
      </c>
      <c r="P12" s="86"/>
      <c r="Q12" s="37" t="s">
        <v>655</v>
      </c>
      <c r="R12" s="52"/>
      <c r="S12" s="52"/>
      <c r="T12" s="77"/>
      <c r="U12" s="77"/>
      <c r="V12" s="59">
        <v>4.03</v>
      </c>
      <c r="W12" s="91">
        <v>4.03</v>
      </c>
    </row>
    <row r="13" spans="1:23" x14ac:dyDescent="0.2">
      <c r="A13" s="60"/>
      <c r="B13" s="60"/>
      <c r="C13" s="61"/>
      <c r="D13" s="62"/>
      <c r="E13" s="63"/>
      <c r="F13" s="64"/>
      <c r="G13" s="57" t="s">
        <v>663</v>
      </c>
      <c r="H13" s="37"/>
      <c r="I13" s="711"/>
      <c r="J13" s="713"/>
      <c r="K13" s="713"/>
      <c r="L13" s="781" t="s">
        <v>664</v>
      </c>
      <c r="M13" s="711"/>
      <c r="N13" s="76"/>
      <c r="O13" s="76"/>
      <c r="P13" s="67"/>
      <c r="Q13" s="37"/>
      <c r="R13" s="52"/>
      <c r="S13" s="52"/>
      <c r="T13" s="37"/>
      <c r="U13" s="37"/>
      <c r="V13" s="59"/>
      <c r="W13" s="59"/>
    </row>
    <row r="14" spans="1:23" ht="25.5" x14ac:dyDescent="0.2">
      <c r="A14" s="60">
        <v>1080</v>
      </c>
      <c r="B14" s="60">
        <v>201</v>
      </c>
      <c r="C14" s="61"/>
      <c r="D14" s="62"/>
      <c r="E14" s="87"/>
      <c r="F14" s="88"/>
      <c r="G14" s="89"/>
      <c r="H14" s="702" t="s">
        <v>665</v>
      </c>
      <c r="I14" s="712" t="s">
        <v>666</v>
      </c>
      <c r="J14" s="701" t="s">
        <v>667</v>
      </c>
      <c r="K14" s="701"/>
      <c r="L14" s="787"/>
      <c r="M14" s="788" t="s">
        <v>668</v>
      </c>
      <c r="N14" s="100">
        <f>183018+1486.57*4</f>
        <v>188964.28</v>
      </c>
      <c r="O14" s="100">
        <v>194141.13</v>
      </c>
      <c r="P14" s="101"/>
      <c r="Q14" s="37"/>
      <c r="R14" s="52" t="s">
        <v>669</v>
      </c>
      <c r="S14" s="105" t="s">
        <v>670</v>
      </c>
      <c r="T14" s="77"/>
      <c r="U14" s="77"/>
      <c r="V14" s="59">
        <v>223231</v>
      </c>
      <c r="W14" s="91">
        <v>223231</v>
      </c>
    </row>
    <row r="15" spans="1:23" ht="51" x14ac:dyDescent="0.2">
      <c r="A15" s="60">
        <v>1090</v>
      </c>
      <c r="B15" s="60">
        <v>201</v>
      </c>
      <c r="C15" s="61"/>
      <c r="D15" s="62"/>
      <c r="E15" s="87"/>
      <c r="F15" s="88"/>
      <c r="G15" s="89"/>
      <c r="H15" s="702" t="s">
        <v>671</v>
      </c>
      <c r="I15" s="712" t="s">
        <v>649</v>
      </c>
      <c r="J15" s="701" t="s">
        <v>672</v>
      </c>
      <c r="K15" s="701"/>
      <c r="L15" s="787"/>
      <c r="M15" s="788"/>
      <c r="N15" s="100">
        <v>10512</v>
      </c>
      <c r="O15" s="100">
        <v>12748.38</v>
      </c>
      <c r="P15" s="101"/>
      <c r="Q15" s="37"/>
      <c r="R15" s="52" t="s">
        <v>673</v>
      </c>
      <c r="S15" s="105" t="s">
        <v>674</v>
      </c>
      <c r="T15" s="77"/>
      <c r="U15" s="77"/>
      <c r="V15" s="59">
        <v>16365</v>
      </c>
      <c r="W15" s="91">
        <v>16365</v>
      </c>
    </row>
    <row r="16" spans="1:23" x14ac:dyDescent="0.2">
      <c r="A16" s="60"/>
      <c r="B16" s="60"/>
      <c r="C16" s="61"/>
      <c r="D16" s="62"/>
      <c r="E16" s="87"/>
      <c r="F16" s="88"/>
      <c r="G16" s="57" t="s">
        <v>675</v>
      </c>
      <c r="H16" s="77"/>
      <c r="I16" s="712"/>
      <c r="J16" s="701"/>
      <c r="K16" s="701"/>
      <c r="L16" s="787"/>
      <c r="M16" s="712"/>
      <c r="N16" s="100"/>
      <c r="O16" s="100"/>
      <c r="P16" s="101"/>
      <c r="Q16" s="37"/>
      <c r="R16" s="52"/>
      <c r="S16" s="52"/>
      <c r="T16" s="77"/>
      <c r="U16" s="77"/>
      <c r="V16" s="59"/>
      <c r="W16" s="59"/>
    </row>
    <row r="17" spans="1:23" x14ac:dyDescent="0.2">
      <c r="A17" s="60">
        <v>1100</v>
      </c>
      <c r="B17" s="60">
        <v>203</v>
      </c>
      <c r="C17" s="61"/>
      <c r="D17" s="62" t="s">
        <v>542</v>
      </c>
      <c r="E17" s="87"/>
      <c r="F17" s="88"/>
      <c r="G17" s="42"/>
      <c r="H17" s="701" t="s">
        <v>52</v>
      </c>
      <c r="I17" s="712" t="s">
        <v>676</v>
      </c>
      <c r="J17" s="701"/>
      <c r="K17" s="701"/>
      <c r="L17" s="787"/>
      <c r="M17" s="84">
        <v>3500</v>
      </c>
      <c r="N17" s="106">
        <v>11890</v>
      </c>
      <c r="O17" s="106">
        <v>13979.42</v>
      </c>
      <c r="P17" s="107"/>
      <c r="Q17" s="37" t="s">
        <v>655</v>
      </c>
      <c r="R17" s="52"/>
      <c r="S17" s="52"/>
      <c r="T17" s="77"/>
      <c r="U17" s="77"/>
      <c r="V17" s="59">
        <v>13713</v>
      </c>
      <c r="W17" s="59">
        <v>14136</v>
      </c>
    </row>
    <row r="18" spans="1:23" x14ac:dyDescent="0.2">
      <c r="A18" s="60">
        <v>1110</v>
      </c>
      <c r="B18" s="60">
        <v>204</v>
      </c>
      <c r="C18" s="61"/>
      <c r="D18" s="62" t="s">
        <v>542</v>
      </c>
      <c r="E18" s="87"/>
      <c r="F18" s="88"/>
      <c r="G18" s="42"/>
      <c r="H18" s="701" t="s">
        <v>56</v>
      </c>
      <c r="I18" s="712" t="s">
        <v>677</v>
      </c>
      <c r="J18" s="701"/>
      <c r="K18" s="701"/>
      <c r="L18" s="787"/>
      <c r="M18" s="84">
        <v>10000</v>
      </c>
      <c r="N18" s="106">
        <v>21696</v>
      </c>
      <c r="O18" s="106">
        <v>25527.25</v>
      </c>
      <c r="P18" s="107"/>
      <c r="Q18" s="37" t="s">
        <v>655</v>
      </c>
      <c r="R18" s="52"/>
      <c r="S18" s="52"/>
      <c r="T18" s="77"/>
      <c r="U18" s="77"/>
      <c r="V18" s="59">
        <v>29167</v>
      </c>
      <c r="W18" s="108">
        <v>28931</v>
      </c>
    </row>
    <row r="19" spans="1:23" x14ac:dyDescent="0.2">
      <c r="A19" s="60">
        <v>1120</v>
      </c>
      <c r="B19" s="60">
        <v>206</v>
      </c>
      <c r="C19" s="61"/>
      <c r="D19" s="62" t="s">
        <v>542</v>
      </c>
      <c r="E19" s="87"/>
      <c r="F19" s="88"/>
      <c r="G19" s="42"/>
      <c r="H19" s="701" t="s">
        <v>59</v>
      </c>
      <c r="I19" s="712" t="s">
        <v>678</v>
      </c>
      <c r="J19" s="701"/>
      <c r="K19" s="701"/>
      <c r="L19" s="787"/>
      <c r="M19" s="84">
        <v>8000</v>
      </c>
      <c r="N19" s="106">
        <v>10486</v>
      </c>
      <c r="O19" s="106">
        <v>11853.88</v>
      </c>
      <c r="P19" s="107"/>
      <c r="Q19" s="37" t="s">
        <v>655</v>
      </c>
      <c r="R19" s="52"/>
      <c r="S19" s="52"/>
      <c r="T19" s="77"/>
      <c r="U19" s="77"/>
      <c r="V19" s="59">
        <v>14134.2</v>
      </c>
      <c r="W19" s="91">
        <v>14134.2</v>
      </c>
    </row>
    <row r="20" spans="1:23" x14ac:dyDescent="0.2">
      <c r="A20" s="60">
        <v>1130</v>
      </c>
      <c r="B20" s="60">
        <v>207</v>
      </c>
      <c r="C20" s="61"/>
      <c r="D20" s="62" t="s">
        <v>542</v>
      </c>
      <c r="E20" s="87"/>
      <c r="F20" s="88"/>
      <c r="G20" s="42"/>
      <c r="H20" s="701" t="s">
        <v>62</v>
      </c>
      <c r="I20" s="712" t="s">
        <v>679</v>
      </c>
      <c r="J20" s="701"/>
      <c r="K20" s="701"/>
      <c r="L20" s="787"/>
      <c r="M20" s="84">
        <v>400</v>
      </c>
      <c r="N20" s="106">
        <v>504</v>
      </c>
      <c r="O20" s="106">
        <v>592</v>
      </c>
      <c r="P20" s="107"/>
      <c r="Q20" s="37" t="s">
        <v>655</v>
      </c>
      <c r="R20" s="52"/>
      <c r="S20" s="52"/>
      <c r="T20" s="77"/>
      <c r="U20" s="77"/>
      <c r="V20" s="59">
        <v>600</v>
      </c>
      <c r="W20" s="59">
        <v>617</v>
      </c>
    </row>
    <row r="21" spans="1:23" x14ac:dyDescent="0.2">
      <c r="A21" s="60">
        <v>1140</v>
      </c>
      <c r="B21" s="60">
        <v>208</v>
      </c>
      <c r="C21" s="61"/>
      <c r="D21" s="62" t="s">
        <v>542</v>
      </c>
      <c r="E21" s="87"/>
      <c r="F21" s="88"/>
      <c r="G21" s="42"/>
      <c r="H21" s="701" t="s">
        <v>66</v>
      </c>
      <c r="I21" s="712" t="s">
        <v>680</v>
      </c>
      <c r="J21" s="701"/>
      <c r="K21" s="701"/>
      <c r="L21" s="787"/>
      <c r="M21" s="84">
        <v>800</v>
      </c>
      <c r="N21" s="106">
        <v>3198</v>
      </c>
      <c r="O21" s="106">
        <v>3605</v>
      </c>
      <c r="P21" s="107"/>
      <c r="Q21" s="37" t="s">
        <v>655</v>
      </c>
      <c r="R21" s="52"/>
      <c r="S21" s="52"/>
      <c r="T21" s="77"/>
      <c r="U21" s="77"/>
      <c r="V21" s="59">
        <v>4205.3999999999996</v>
      </c>
      <c r="W21" s="91">
        <v>4205.3999999999996</v>
      </c>
    </row>
    <row r="22" spans="1:23" x14ac:dyDescent="0.2">
      <c r="A22" s="60">
        <v>1180</v>
      </c>
      <c r="B22" s="60">
        <v>209</v>
      </c>
      <c r="C22" s="61"/>
      <c r="D22" s="62" t="s">
        <v>542</v>
      </c>
      <c r="E22" s="87"/>
      <c r="F22" s="88"/>
      <c r="G22" s="42"/>
      <c r="H22" s="701" t="s">
        <v>70</v>
      </c>
      <c r="I22" s="712" t="s">
        <v>679</v>
      </c>
      <c r="J22" s="701"/>
      <c r="K22" s="701"/>
      <c r="L22" s="787"/>
      <c r="M22" s="84">
        <v>200</v>
      </c>
      <c r="N22" s="106">
        <v>248</v>
      </c>
      <c r="O22" s="106">
        <v>263</v>
      </c>
      <c r="P22" s="107"/>
      <c r="Q22" s="37" t="s">
        <v>655</v>
      </c>
      <c r="R22" s="52"/>
      <c r="S22" s="52"/>
      <c r="T22" s="77"/>
      <c r="U22" s="77"/>
      <c r="V22" s="59">
        <v>301</v>
      </c>
      <c r="W22" s="91">
        <v>301</v>
      </c>
    </row>
    <row r="23" spans="1:23" x14ac:dyDescent="0.2">
      <c r="A23" s="60">
        <v>1200</v>
      </c>
      <c r="B23" s="60">
        <v>210</v>
      </c>
      <c r="C23" s="61"/>
      <c r="D23" s="62" t="s">
        <v>542</v>
      </c>
      <c r="E23" s="87"/>
      <c r="F23" s="88"/>
      <c r="G23" s="42"/>
      <c r="H23" s="701" t="s">
        <v>73</v>
      </c>
      <c r="I23" s="712" t="s">
        <v>681</v>
      </c>
      <c r="J23" s="701"/>
      <c r="K23" s="701"/>
      <c r="L23" s="787"/>
      <c r="M23" s="84">
        <v>280</v>
      </c>
      <c r="N23" s="106">
        <v>521</v>
      </c>
      <c r="O23" s="106">
        <v>481</v>
      </c>
      <c r="P23" s="107"/>
      <c r="Q23" s="37" t="s">
        <v>655</v>
      </c>
      <c r="R23" s="52"/>
      <c r="S23" s="52"/>
      <c r="T23" s="77"/>
      <c r="U23" s="77"/>
      <c r="V23" s="59">
        <v>531</v>
      </c>
      <c r="W23" s="59">
        <v>575</v>
      </c>
    </row>
    <row r="24" spans="1:23" x14ac:dyDescent="0.2">
      <c r="A24" s="60">
        <v>1210</v>
      </c>
      <c r="B24" s="60">
        <v>211</v>
      </c>
      <c r="C24" s="61"/>
      <c r="D24" s="62" t="s">
        <v>542</v>
      </c>
      <c r="E24" s="87"/>
      <c r="F24" s="88"/>
      <c r="G24" s="42"/>
      <c r="H24" s="701" t="s">
        <v>76</v>
      </c>
      <c r="I24" s="712" t="s">
        <v>677</v>
      </c>
      <c r="J24" s="701"/>
      <c r="K24" s="701"/>
      <c r="L24" s="787"/>
      <c r="M24" s="84">
        <v>2500</v>
      </c>
      <c r="N24" s="106">
        <v>3376</v>
      </c>
      <c r="O24" s="106">
        <v>3604</v>
      </c>
      <c r="P24" s="107"/>
      <c r="Q24" s="37" t="s">
        <v>655</v>
      </c>
      <c r="R24" s="52"/>
      <c r="S24" s="52"/>
      <c r="T24" s="77"/>
      <c r="U24" s="77"/>
      <c r="V24" s="59">
        <v>4205</v>
      </c>
      <c r="W24" s="81">
        <v>4149</v>
      </c>
    </row>
    <row r="25" spans="1:23" x14ac:dyDescent="0.2">
      <c r="A25" s="60">
        <v>1220</v>
      </c>
      <c r="B25" s="60">
        <v>212</v>
      </c>
      <c r="C25" s="61"/>
      <c r="D25" s="62" t="s">
        <v>542</v>
      </c>
      <c r="E25" s="87"/>
      <c r="F25" s="88"/>
      <c r="G25" s="42"/>
      <c r="H25" s="701" t="s">
        <v>79</v>
      </c>
      <c r="I25" s="712" t="s">
        <v>677</v>
      </c>
      <c r="J25" s="701"/>
      <c r="K25" s="701"/>
      <c r="L25" s="782"/>
      <c r="M25" s="84">
        <v>4200</v>
      </c>
      <c r="N25" s="106">
        <v>7049</v>
      </c>
      <c r="O25" s="106">
        <v>9601</v>
      </c>
      <c r="P25" s="107"/>
      <c r="Q25" s="37" t="s">
        <v>655</v>
      </c>
      <c r="R25" s="52"/>
      <c r="S25" s="52"/>
      <c r="T25" s="77"/>
      <c r="U25" s="77"/>
      <c r="V25" s="59">
        <v>13940</v>
      </c>
      <c r="W25" s="91">
        <v>13940</v>
      </c>
    </row>
    <row r="26" spans="1:23" x14ac:dyDescent="0.2">
      <c r="A26" s="109">
        <v>1230</v>
      </c>
      <c r="B26" s="110">
        <v>109</v>
      </c>
      <c r="C26" s="111"/>
      <c r="D26" s="62"/>
      <c r="E26" s="87"/>
      <c r="F26" s="88"/>
      <c r="G26" s="42"/>
      <c r="H26" s="701" t="s">
        <v>96</v>
      </c>
      <c r="I26" s="712" t="s">
        <v>682</v>
      </c>
      <c r="J26" s="701"/>
      <c r="K26" s="701"/>
      <c r="L26" s="709"/>
      <c r="M26" s="84">
        <v>500</v>
      </c>
      <c r="N26" s="112">
        <v>939</v>
      </c>
      <c r="O26" s="112">
        <v>1140</v>
      </c>
      <c r="P26" s="113"/>
      <c r="Q26" s="37" t="s">
        <v>683</v>
      </c>
      <c r="R26" s="74"/>
      <c r="S26" s="74"/>
      <c r="T26" s="77"/>
      <c r="U26" s="77"/>
      <c r="V26" s="59">
        <v>1353</v>
      </c>
      <c r="W26" s="59">
        <v>1499</v>
      </c>
    </row>
    <row r="27" spans="1:23" x14ac:dyDescent="0.2">
      <c r="A27" s="60">
        <v>1260</v>
      </c>
      <c r="B27" s="60">
        <v>123</v>
      </c>
      <c r="C27" s="61"/>
      <c r="D27" s="62"/>
      <c r="E27" s="78"/>
      <c r="F27" s="42"/>
      <c r="G27" s="42"/>
      <c r="H27" s="701" t="s">
        <v>684</v>
      </c>
      <c r="I27" s="712" t="s">
        <v>685</v>
      </c>
      <c r="J27" s="701"/>
      <c r="K27" s="713"/>
      <c r="L27" s="703"/>
      <c r="M27" s="84">
        <v>165</v>
      </c>
      <c r="N27" s="114">
        <v>316</v>
      </c>
      <c r="O27" s="114">
        <v>340</v>
      </c>
      <c r="P27" s="113"/>
      <c r="Q27" s="37" t="s">
        <v>683</v>
      </c>
      <c r="R27" s="52"/>
      <c r="S27" s="74"/>
      <c r="T27" s="37"/>
      <c r="U27" s="37"/>
      <c r="V27" s="59">
        <v>406</v>
      </c>
      <c r="W27" s="59">
        <v>422</v>
      </c>
    </row>
    <row r="28" spans="1:23" x14ac:dyDescent="0.2">
      <c r="A28" s="60">
        <v>1280</v>
      </c>
      <c r="B28" s="60">
        <v>135</v>
      </c>
      <c r="C28" s="61"/>
      <c r="D28" s="62"/>
      <c r="E28" s="115"/>
      <c r="F28" s="115"/>
      <c r="G28" s="115"/>
      <c r="H28" s="701" t="s">
        <v>101</v>
      </c>
      <c r="I28" s="116" t="s">
        <v>686</v>
      </c>
      <c r="J28" s="713"/>
      <c r="K28" s="713"/>
      <c r="L28" s="713"/>
      <c r="M28" s="84">
        <v>600</v>
      </c>
      <c r="N28" s="114">
        <v>1779</v>
      </c>
      <c r="O28" s="114">
        <v>1873</v>
      </c>
      <c r="P28" s="113"/>
      <c r="Q28" s="37" t="s">
        <v>683</v>
      </c>
      <c r="R28" s="52"/>
      <c r="S28" s="52"/>
      <c r="T28" s="37"/>
      <c r="U28" s="37"/>
      <c r="V28" s="59">
        <v>2994.4</v>
      </c>
      <c r="W28" s="59">
        <v>3180.6</v>
      </c>
    </row>
    <row r="29" spans="1:23" x14ac:dyDescent="0.2">
      <c r="A29" s="789"/>
      <c r="B29" s="790"/>
      <c r="C29" s="791"/>
      <c r="D29" s="117"/>
      <c r="E29" s="783" t="s">
        <v>687</v>
      </c>
      <c r="F29" s="783"/>
      <c r="G29" s="783"/>
      <c r="H29" s="783"/>
      <c r="I29" s="783"/>
      <c r="J29" s="783"/>
      <c r="K29" s="783"/>
      <c r="L29" s="783"/>
      <c r="M29" s="783"/>
      <c r="N29" s="783"/>
      <c r="O29" s="118"/>
      <c r="P29" s="119"/>
      <c r="Q29" s="37"/>
      <c r="R29" s="52"/>
      <c r="S29" s="52"/>
      <c r="T29" s="37"/>
      <c r="U29" s="37"/>
      <c r="V29" s="59"/>
      <c r="W29" s="59"/>
    </row>
    <row r="30" spans="1:23" x14ac:dyDescent="0.2">
      <c r="A30" s="120"/>
      <c r="B30" s="121"/>
      <c r="C30" s="122"/>
      <c r="D30" s="55"/>
      <c r="E30" s="54"/>
      <c r="F30" s="56"/>
      <c r="G30" s="57" t="s">
        <v>688</v>
      </c>
      <c r="H30" s="54"/>
      <c r="I30" s="54"/>
      <c r="J30" s="54"/>
      <c r="K30" s="54"/>
      <c r="L30" s="54"/>
      <c r="M30" s="54"/>
      <c r="N30" s="54"/>
      <c r="O30" s="54"/>
      <c r="P30" s="58"/>
      <c r="Q30" s="37"/>
      <c r="R30" s="52"/>
      <c r="S30" s="52"/>
      <c r="T30" s="37"/>
      <c r="U30" s="37"/>
      <c r="V30" s="59"/>
      <c r="W30" s="59"/>
    </row>
    <row r="31" spans="1:23" ht="38.25" x14ac:dyDescent="0.2">
      <c r="A31" s="60">
        <v>1290</v>
      </c>
      <c r="B31" s="60"/>
      <c r="C31" s="61">
        <v>1</v>
      </c>
      <c r="D31" s="62"/>
      <c r="E31" s="115" t="s">
        <v>689</v>
      </c>
      <c r="F31" s="115" t="s">
        <v>689</v>
      </c>
      <c r="G31" s="115"/>
      <c r="H31" s="702" t="s">
        <v>104</v>
      </c>
      <c r="I31" s="711" t="s">
        <v>488</v>
      </c>
      <c r="J31" s="701" t="s">
        <v>690</v>
      </c>
      <c r="K31" s="713" t="s">
        <v>691</v>
      </c>
      <c r="L31" s="792" t="s">
        <v>692</v>
      </c>
      <c r="M31" s="713"/>
      <c r="N31" s="76">
        <v>3.4</v>
      </c>
      <c r="O31" s="76">
        <v>2.69</v>
      </c>
      <c r="P31" s="67"/>
      <c r="Q31" s="37"/>
      <c r="R31" s="52"/>
      <c r="S31" s="52"/>
      <c r="T31" s="37"/>
      <c r="U31" s="37"/>
      <c r="V31" s="59">
        <v>2.33</v>
      </c>
      <c r="W31" s="59">
        <v>2.3199999999999998</v>
      </c>
    </row>
    <row r="32" spans="1:23" ht="89.25" x14ac:dyDescent="0.2">
      <c r="A32" s="60">
        <v>1310</v>
      </c>
      <c r="B32" s="60">
        <v>126</v>
      </c>
      <c r="C32" s="61"/>
      <c r="D32" s="62"/>
      <c r="E32" s="115" t="s">
        <v>689</v>
      </c>
      <c r="F32" s="115" t="s">
        <v>689</v>
      </c>
      <c r="G32" s="115"/>
      <c r="H32" s="702" t="s">
        <v>107</v>
      </c>
      <c r="I32" s="711" t="s">
        <v>488</v>
      </c>
      <c r="J32" s="701" t="s">
        <v>693</v>
      </c>
      <c r="K32" s="713" t="s">
        <v>691</v>
      </c>
      <c r="L32" s="792"/>
      <c r="M32" s="123" t="s">
        <v>694</v>
      </c>
      <c r="N32" s="76">
        <v>4.5999999999999996</v>
      </c>
      <c r="O32" s="76">
        <v>1.79</v>
      </c>
      <c r="P32" s="67"/>
      <c r="Q32" s="37"/>
      <c r="R32" s="52"/>
      <c r="S32" s="52"/>
      <c r="T32" s="37"/>
      <c r="U32" s="37"/>
      <c r="V32" s="59">
        <v>1.83</v>
      </c>
      <c r="W32" s="108">
        <v>1.73</v>
      </c>
    </row>
    <row r="33" spans="1:23" x14ac:dyDescent="0.2">
      <c r="A33" s="60"/>
      <c r="B33" s="60"/>
      <c r="C33" s="61"/>
      <c r="D33" s="62"/>
      <c r="E33" s="82"/>
      <c r="F33" s="57"/>
      <c r="G33" s="57" t="s">
        <v>695</v>
      </c>
      <c r="H33" s="702"/>
      <c r="I33" s="711"/>
      <c r="J33" s="701"/>
      <c r="K33" s="713"/>
      <c r="L33" s="792"/>
      <c r="M33" s="123"/>
      <c r="N33" s="76"/>
      <c r="O33" s="76"/>
      <c r="P33" s="67"/>
      <c r="Q33" s="37"/>
      <c r="R33" s="52"/>
      <c r="S33" s="52"/>
      <c r="T33" s="37"/>
      <c r="U33" s="37"/>
      <c r="V33" s="59"/>
      <c r="W33" s="59"/>
    </row>
    <row r="34" spans="1:23" x14ac:dyDescent="0.2">
      <c r="A34" s="60">
        <v>1320</v>
      </c>
      <c r="B34" s="60">
        <v>137</v>
      </c>
      <c r="C34" s="61"/>
      <c r="D34" s="62" t="s">
        <v>542</v>
      </c>
      <c r="E34" s="82"/>
      <c r="F34" s="115" t="s">
        <v>689</v>
      </c>
      <c r="G34" s="115"/>
      <c r="H34" s="702" t="s">
        <v>696</v>
      </c>
      <c r="I34" s="62" t="s">
        <v>488</v>
      </c>
      <c r="J34" s="124"/>
      <c r="K34" s="90"/>
      <c r="L34" s="792"/>
      <c r="M34" s="123">
        <v>2.64</v>
      </c>
      <c r="N34" s="100">
        <v>13.53</v>
      </c>
      <c r="O34" s="100">
        <v>14.34</v>
      </c>
      <c r="P34" s="67"/>
      <c r="Q34" s="37"/>
      <c r="R34" s="52" t="s">
        <v>697</v>
      </c>
      <c r="S34" s="52" t="s">
        <v>698</v>
      </c>
      <c r="T34" s="38"/>
      <c r="U34" s="77"/>
      <c r="V34" s="59">
        <v>19</v>
      </c>
      <c r="W34" s="59">
        <v>20.61</v>
      </c>
    </row>
    <row r="35" spans="1:23" ht="63.75" x14ac:dyDescent="0.2">
      <c r="A35" s="60">
        <v>1330</v>
      </c>
      <c r="B35" s="60"/>
      <c r="C35" s="61">
        <v>2</v>
      </c>
      <c r="D35" s="62"/>
      <c r="E35" s="115" t="s">
        <v>689</v>
      </c>
      <c r="F35" s="115" t="s">
        <v>689</v>
      </c>
      <c r="G35" s="115"/>
      <c r="H35" s="702" t="s">
        <v>699</v>
      </c>
      <c r="I35" s="63" t="s">
        <v>666</v>
      </c>
      <c r="J35" s="713"/>
      <c r="K35" s="78"/>
      <c r="L35" s="701" t="s">
        <v>700</v>
      </c>
      <c r="M35" s="701"/>
      <c r="N35" s="76">
        <v>100</v>
      </c>
      <c r="O35" s="76">
        <f>116</f>
        <v>116</v>
      </c>
      <c r="P35" s="67"/>
      <c r="Q35" s="37"/>
      <c r="R35" s="52"/>
      <c r="S35" s="52"/>
      <c r="T35" s="37"/>
      <c r="U35" s="37"/>
      <c r="V35" s="59">
        <v>118.2</v>
      </c>
      <c r="W35" s="81">
        <v>118</v>
      </c>
    </row>
    <row r="36" spans="1:23" ht="114.75" x14ac:dyDescent="0.2">
      <c r="A36" s="60">
        <v>1340</v>
      </c>
      <c r="B36" s="60"/>
      <c r="C36" s="61">
        <v>3</v>
      </c>
      <c r="D36" s="62"/>
      <c r="E36" s="115" t="s">
        <v>689</v>
      </c>
      <c r="F36" s="115" t="s">
        <v>689</v>
      </c>
      <c r="G36" s="115"/>
      <c r="H36" s="702" t="s">
        <v>701</v>
      </c>
      <c r="I36" s="116" t="s">
        <v>702</v>
      </c>
      <c r="J36" s="713" t="s">
        <v>703</v>
      </c>
      <c r="K36" s="713" t="s">
        <v>704</v>
      </c>
      <c r="L36" s="713" t="s">
        <v>705</v>
      </c>
      <c r="M36" s="713"/>
      <c r="N36" s="76">
        <v>1258</v>
      </c>
      <c r="O36" s="76">
        <v>1774.5</v>
      </c>
      <c r="P36" s="67"/>
      <c r="Q36" s="37"/>
      <c r="R36" s="52"/>
      <c r="S36" s="52"/>
      <c r="T36" s="37"/>
      <c r="U36" s="37"/>
      <c r="V36" s="59">
        <v>2603.1999999999998</v>
      </c>
      <c r="W36" s="81">
        <v>1782.9</v>
      </c>
    </row>
    <row r="37" spans="1:23" x14ac:dyDescent="0.2">
      <c r="A37" s="60"/>
      <c r="B37" s="60"/>
      <c r="C37" s="61"/>
      <c r="D37" s="62"/>
      <c r="E37" s="82"/>
      <c r="F37" s="57"/>
      <c r="G37" s="57" t="s">
        <v>706</v>
      </c>
      <c r="H37" s="701"/>
      <c r="I37" s="116"/>
      <c r="J37" s="713"/>
      <c r="K37" s="713"/>
      <c r="L37" s="713"/>
      <c r="M37" s="713"/>
      <c r="N37" s="76"/>
      <c r="O37" s="76"/>
      <c r="P37" s="67"/>
      <c r="Q37" s="37"/>
      <c r="R37" s="52"/>
      <c r="S37" s="52"/>
      <c r="T37" s="37"/>
      <c r="U37" s="37"/>
      <c r="V37" s="59"/>
      <c r="W37" s="59"/>
    </row>
    <row r="38" spans="1:23" ht="229.5" x14ac:dyDescent="0.2">
      <c r="A38" s="60">
        <v>1350</v>
      </c>
      <c r="B38" s="60">
        <v>142</v>
      </c>
      <c r="C38" s="61"/>
      <c r="D38" s="62" t="s">
        <v>542</v>
      </c>
      <c r="E38" s="115" t="s">
        <v>689</v>
      </c>
      <c r="F38" s="115"/>
      <c r="G38" s="115"/>
      <c r="H38" s="702" t="s">
        <v>707</v>
      </c>
      <c r="I38" s="712" t="s">
        <v>488</v>
      </c>
      <c r="J38" s="701" t="s">
        <v>708</v>
      </c>
      <c r="K38" s="713" t="s">
        <v>709</v>
      </c>
      <c r="L38" s="793" t="s">
        <v>692</v>
      </c>
      <c r="M38" s="711" t="s">
        <v>710</v>
      </c>
      <c r="N38" s="76">
        <v>27.22</v>
      </c>
      <c r="O38" s="76">
        <v>34.299999999999997</v>
      </c>
      <c r="P38" s="67"/>
      <c r="Q38" s="37"/>
      <c r="R38" s="68" t="s">
        <v>711</v>
      </c>
      <c r="S38" s="68" t="s">
        <v>712</v>
      </c>
      <c r="T38" s="37"/>
      <c r="U38" s="37"/>
      <c r="V38" s="59">
        <v>29.8</v>
      </c>
      <c r="W38" s="59">
        <v>30.2</v>
      </c>
    </row>
    <row r="39" spans="1:23" ht="140.25" x14ac:dyDescent="0.2">
      <c r="A39" s="60">
        <v>1360</v>
      </c>
      <c r="B39" s="60">
        <v>142</v>
      </c>
      <c r="C39" s="61"/>
      <c r="D39" s="62" t="s">
        <v>542</v>
      </c>
      <c r="E39" s="115" t="s">
        <v>689</v>
      </c>
      <c r="F39" s="115"/>
      <c r="G39" s="115"/>
      <c r="H39" s="702" t="s">
        <v>713</v>
      </c>
      <c r="I39" s="712" t="s">
        <v>488</v>
      </c>
      <c r="J39" s="701" t="s">
        <v>714</v>
      </c>
      <c r="K39" s="713" t="s">
        <v>715</v>
      </c>
      <c r="L39" s="793"/>
      <c r="M39" s="711" t="s">
        <v>710</v>
      </c>
      <c r="N39" s="100">
        <v>27.22</v>
      </c>
      <c r="O39" s="100">
        <v>35.9</v>
      </c>
      <c r="P39" s="101"/>
      <c r="Q39" s="37"/>
      <c r="R39" s="52"/>
      <c r="S39" s="52"/>
      <c r="T39" s="37"/>
      <c r="U39" s="37"/>
      <c r="V39" s="59">
        <v>33.700000000000003</v>
      </c>
      <c r="W39" s="59">
        <v>33.9</v>
      </c>
    </row>
    <row r="40" spans="1:23" x14ac:dyDescent="0.2">
      <c r="A40" s="125">
        <v>1370</v>
      </c>
      <c r="B40" s="125"/>
      <c r="C40" s="126"/>
      <c r="D40" s="127"/>
      <c r="E40" s="128"/>
      <c r="F40" s="128"/>
      <c r="G40" s="128"/>
      <c r="H40" s="129" t="s">
        <v>125</v>
      </c>
      <c r="I40" s="130" t="s">
        <v>488</v>
      </c>
      <c r="J40" s="131"/>
      <c r="K40" s="132"/>
      <c r="L40" s="133"/>
      <c r="M40" s="134"/>
      <c r="N40" s="135">
        <v>31.05</v>
      </c>
      <c r="O40" s="135"/>
      <c r="P40" s="136"/>
      <c r="Q40" s="37" t="s">
        <v>716</v>
      </c>
      <c r="R40" s="52"/>
      <c r="S40" s="52"/>
      <c r="T40" s="37"/>
      <c r="U40" s="37"/>
      <c r="V40" s="59">
        <v>37.1</v>
      </c>
      <c r="W40" s="59">
        <v>37.5</v>
      </c>
    </row>
    <row r="41" spans="1:23" x14ac:dyDescent="0.2">
      <c r="A41" s="125">
        <v>1380</v>
      </c>
      <c r="B41" s="125"/>
      <c r="C41" s="126"/>
      <c r="D41" s="127"/>
      <c r="E41" s="128"/>
      <c r="F41" s="128"/>
      <c r="G41" s="128"/>
      <c r="H41" s="129" t="s">
        <v>717</v>
      </c>
      <c r="I41" s="130" t="s">
        <v>488</v>
      </c>
      <c r="J41" s="131"/>
      <c r="K41" s="132"/>
      <c r="L41" s="133"/>
      <c r="M41" s="134"/>
      <c r="N41" s="135">
        <v>40.03</v>
      </c>
      <c r="O41" s="135"/>
      <c r="P41" s="136"/>
      <c r="Q41" s="37" t="s">
        <v>716</v>
      </c>
      <c r="R41" s="52"/>
      <c r="S41" s="52"/>
      <c r="T41" s="37"/>
      <c r="U41" s="37"/>
      <c r="V41" s="59">
        <v>44.3</v>
      </c>
      <c r="W41" s="59">
        <v>44.9</v>
      </c>
    </row>
    <row r="42" spans="1:23" ht="344.25" x14ac:dyDescent="0.2">
      <c r="A42" s="60">
        <v>1420</v>
      </c>
      <c r="B42" s="60">
        <v>134</v>
      </c>
      <c r="C42" s="61"/>
      <c r="D42" s="62" t="s">
        <v>542</v>
      </c>
      <c r="E42" s="137"/>
      <c r="F42" s="57"/>
      <c r="G42" s="57"/>
      <c r="H42" s="138" t="s">
        <v>131</v>
      </c>
      <c r="I42" s="711" t="s">
        <v>484</v>
      </c>
      <c r="J42" s="701" t="s">
        <v>718</v>
      </c>
      <c r="K42" s="713"/>
      <c r="L42" s="713"/>
      <c r="M42" s="123">
        <v>135</v>
      </c>
      <c r="N42" s="85">
        <v>440</v>
      </c>
      <c r="O42" s="85">
        <v>487</v>
      </c>
      <c r="P42" s="86"/>
      <c r="Q42" s="37" t="s">
        <v>655</v>
      </c>
      <c r="R42" s="68" t="s">
        <v>719</v>
      </c>
      <c r="S42" s="68" t="s">
        <v>720</v>
      </c>
      <c r="T42" s="68" t="s">
        <v>721</v>
      </c>
      <c r="U42" s="37"/>
      <c r="V42" s="59">
        <v>674.07</v>
      </c>
      <c r="W42" s="108">
        <v>640.09</v>
      </c>
    </row>
    <row r="43" spans="1:23" ht="127.5" x14ac:dyDescent="0.2">
      <c r="A43" s="60">
        <v>1430</v>
      </c>
      <c r="B43" s="60">
        <v>133</v>
      </c>
      <c r="C43" s="61"/>
      <c r="D43" s="62"/>
      <c r="E43" s="63"/>
      <c r="F43" s="57"/>
      <c r="G43" s="57"/>
      <c r="H43" s="138" t="s">
        <v>133</v>
      </c>
      <c r="I43" s="711" t="s">
        <v>484</v>
      </c>
      <c r="J43" s="701" t="s">
        <v>718</v>
      </c>
      <c r="K43" s="713"/>
      <c r="L43" s="713"/>
      <c r="M43" s="123">
        <v>20.25</v>
      </c>
      <c r="N43" s="76">
        <v>56.9</v>
      </c>
      <c r="O43" s="76">
        <v>34</v>
      </c>
      <c r="P43" s="67"/>
      <c r="Q43" s="37"/>
      <c r="R43" s="68" t="s">
        <v>722</v>
      </c>
      <c r="S43" s="68" t="s">
        <v>723</v>
      </c>
      <c r="T43" s="37"/>
      <c r="U43" s="37"/>
      <c r="V43" s="59">
        <v>38.450000000000003</v>
      </c>
      <c r="W43" s="59">
        <v>41.71</v>
      </c>
    </row>
    <row r="44" spans="1:23" ht="51" x14ac:dyDescent="0.2">
      <c r="A44" s="60">
        <v>1440</v>
      </c>
      <c r="B44" s="60">
        <v>144</v>
      </c>
      <c r="C44" s="61"/>
      <c r="D44" s="62"/>
      <c r="E44" s="63"/>
      <c r="F44" s="57"/>
      <c r="G44" s="57"/>
      <c r="H44" s="702" t="s">
        <v>135</v>
      </c>
      <c r="I44" s="711" t="s">
        <v>484</v>
      </c>
      <c r="J44" s="701" t="s">
        <v>718</v>
      </c>
      <c r="K44" s="713"/>
      <c r="L44" s="713"/>
      <c r="M44" s="123">
        <v>30.14</v>
      </c>
      <c r="N44" s="76">
        <v>64</v>
      </c>
      <c r="O44" s="76">
        <v>69.400000000000006</v>
      </c>
      <c r="P44" s="67"/>
      <c r="Q44" s="37"/>
      <c r="R44" s="52" t="s">
        <v>724</v>
      </c>
      <c r="S44" s="52" t="s">
        <v>725</v>
      </c>
      <c r="T44" s="37"/>
      <c r="U44" s="37"/>
      <c r="V44" s="59">
        <v>76.89</v>
      </c>
      <c r="W44" s="59">
        <v>78.459999999999994</v>
      </c>
    </row>
    <row r="45" spans="1:23" x14ac:dyDescent="0.2">
      <c r="A45" s="54"/>
      <c r="B45" s="54"/>
      <c r="C45" s="54"/>
      <c r="D45" s="55"/>
      <c r="E45" s="54"/>
      <c r="F45" s="42"/>
      <c r="G45" s="42" t="s">
        <v>726</v>
      </c>
      <c r="H45" s="54"/>
      <c r="I45" s="54"/>
      <c r="J45" s="54"/>
      <c r="K45" s="54"/>
      <c r="L45" s="54"/>
      <c r="M45" s="54"/>
      <c r="N45" s="54"/>
      <c r="O45" s="54"/>
      <c r="P45" s="58"/>
      <c r="Q45" s="37"/>
      <c r="R45" s="52"/>
      <c r="S45" s="52"/>
      <c r="T45" s="37"/>
      <c r="U45" s="37"/>
      <c r="V45" s="59"/>
      <c r="W45" s="59"/>
    </row>
    <row r="46" spans="1:23" ht="153" x14ac:dyDescent="0.2">
      <c r="A46" s="125">
        <v>1450</v>
      </c>
      <c r="B46" s="125">
        <v>149</v>
      </c>
      <c r="C46" s="126"/>
      <c r="D46" s="127" t="s">
        <v>542</v>
      </c>
      <c r="E46" s="139"/>
      <c r="F46" s="128"/>
      <c r="G46" s="128"/>
      <c r="H46" s="140" t="s">
        <v>137</v>
      </c>
      <c r="I46" s="130" t="s">
        <v>702</v>
      </c>
      <c r="J46" s="141" t="s">
        <v>727</v>
      </c>
      <c r="K46" s="132" t="s">
        <v>691</v>
      </c>
      <c r="L46" s="794" t="s">
        <v>728</v>
      </c>
      <c r="M46" s="142">
        <v>367.5</v>
      </c>
      <c r="N46" s="135">
        <f>1146*(1+5%)^2</f>
        <v>1263.4650000000001</v>
      </c>
      <c r="O46" s="135">
        <v>941.5</v>
      </c>
      <c r="P46" s="136"/>
      <c r="Q46" s="37" t="s">
        <v>716</v>
      </c>
      <c r="R46" s="68" t="s">
        <v>729</v>
      </c>
      <c r="S46" s="68" t="s">
        <v>730</v>
      </c>
      <c r="T46" s="38"/>
      <c r="U46" s="37"/>
      <c r="V46" s="59">
        <v>1443.1</v>
      </c>
      <c r="W46" s="59">
        <v>2017.3</v>
      </c>
    </row>
    <row r="47" spans="1:23" ht="76.5" x14ac:dyDescent="0.2">
      <c r="A47" s="125">
        <v>1460</v>
      </c>
      <c r="B47" s="125"/>
      <c r="C47" s="126"/>
      <c r="D47" s="127"/>
      <c r="E47" s="139"/>
      <c r="F47" s="128"/>
      <c r="G47" s="128"/>
      <c r="H47" s="140" t="s">
        <v>140</v>
      </c>
      <c r="I47" s="130" t="s">
        <v>702</v>
      </c>
      <c r="J47" s="143" t="s">
        <v>731</v>
      </c>
      <c r="K47" s="132" t="s">
        <v>691</v>
      </c>
      <c r="L47" s="795"/>
      <c r="M47" s="142"/>
      <c r="N47" s="135">
        <v>1237</v>
      </c>
      <c r="O47" s="135">
        <v>794</v>
      </c>
      <c r="P47" s="136"/>
      <c r="Q47" s="37" t="s">
        <v>716</v>
      </c>
      <c r="R47" s="68" t="s">
        <v>732</v>
      </c>
      <c r="S47" s="68"/>
      <c r="T47" s="38"/>
      <c r="U47" s="37"/>
      <c r="V47" s="59">
        <v>1166.3</v>
      </c>
      <c r="W47" s="108">
        <v>1516</v>
      </c>
    </row>
    <row r="48" spans="1:23" ht="25.5" x14ac:dyDescent="0.2">
      <c r="A48" s="60">
        <v>1470</v>
      </c>
      <c r="B48" s="60">
        <v>150</v>
      </c>
      <c r="C48" s="61"/>
      <c r="D48" s="62"/>
      <c r="E48" s="63"/>
      <c r="F48" s="115"/>
      <c r="G48" s="115"/>
      <c r="H48" s="138" t="s">
        <v>143</v>
      </c>
      <c r="I48" s="144" t="s">
        <v>488</v>
      </c>
      <c r="J48" s="705"/>
      <c r="K48" s="713" t="s">
        <v>691</v>
      </c>
      <c r="L48" s="796"/>
      <c r="M48" s="145">
        <v>21</v>
      </c>
      <c r="N48" s="76">
        <v>67.5</v>
      </c>
      <c r="O48" s="76">
        <v>112</v>
      </c>
      <c r="P48" s="67"/>
      <c r="Q48" s="37"/>
      <c r="R48" s="52"/>
      <c r="S48" s="52"/>
      <c r="T48" s="37"/>
      <c r="U48" s="37"/>
      <c r="V48" s="59">
        <v>122.4</v>
      </c>
      <c r="W48" s="91">
        <v>122.4</v>
      </c>
    </row>
    <row r="49" spans="1:23" ht="114.75" x14ac:dyDescent="0.2">
      <c r="A49" s="60">
        <v>1490</v>
      </c>
      <c r="B49" s="60">
        <v>129</v>
      </c>
      <c r="C49" s="61"/>
      <c r="D49" s="62"/>
      <c r="E49" s="78"/>
      <c r="F49" s="42"/>
      <c r="G49" s="42"/>
      <c r="H49" s="701" t="s">
        <v>145</v>
      </c>
      <c r="I49" s="712" t="s">
        <v>677</v>
      </c>
      <c r="J49" s="701"/>
      <c r="K49" s="713"/>
      <c r="L49" s="703"/>
      <c r="M49" s="84">
        <v>250</v>
      </c>
      <c r="N49" s="85">
        <v>393</v>
      </c>
      <c r="O49" s="85">
        <v>475</v>
      </c>
      <c r="P49" s="86"/>
      <c r="Q49" s="37" t="s">
        <v>655</v>
      </c>
      <c r="R49" s="68" t="s">
        <v>733</v>
      </c>
      <c r="S49" s="68" t="s">
        <v>734</v>
      </c>
      <c r="T49" s="37"/>
      <c r="U49" s="37"/>
      <c r="V49" s="59">
        <v>600</v>
      </c>
      <c r="W49" s="108">
        <v>594.5</v>
      </c>
    </row>
    <row r="50" spans="1:23" x14ac:dyDescent="0.2">
      <c r="A50" s="60">
        <v>1500</v>
      </c>
      <c r="B50" s="60">
        <v>153</v>
      </c>
      <c r="C50" s="61"/>
      <c r="D50" s="62"/>
      <c r="E50" s="78"/>
      <c r="F50" s="42"/>
      <c r="G50" s="42"/>
      <c r="H50" s="701" t="s">
        <v>147</v>
      </c>
      <c r="I50" s="712" t="s">
        <v>677</v>
      </c>
      <c r="J50" s="701"/>
      <c r="K50" s="713"/>
      <c r="L50" s="703"/>
      <c r="M50" s="84">
        <v>25</v>
      </c>
      <c r="N50" s="85">
        <v>94</v>
      </c>
      <c r="O50" s="85">
        <v>119.7</v>
      </c>
      <c r="P50" s="86"/>
      <c r="Q50" s="37" t="s">
        <v>655</v>
      </c>
      <c r="R50" s="52" t="s">
        <v>735</v>
      </c>
      <c r="S50" s="52" t="s">
        <v>736</v>
      </c>
      <c r="T50" s="37"/>
      <c r="U50" s="37"/>
      <c r="V50" s="59">
        <v>153.47999999999999</v>
      </c>
      <c r="W50" s="59">
        <v>156.47999999999999</v>
      </c>
    </row>
    <row r="51" spans="1:23" ht="229.5" x14ac:dyDescent="0.2">
      <c r="A51" s="60">
        <v>1510</v>
      </c>
      <c r="B51" s="60">
        <v>145</v>
      </c>
      <c r="C51" s="61"/>
      <c r="D51" s="62"/>
      <c r="E51" s="82"/>
      <c r="F51" s="78"/>
      <c r="G51" s="78"/>
      <c r="H51" s="138" t="s">
        <v>149</v>
      </c>
      <c r="I51" s="146" t="s">
        <v>666</v>
      </c>
      <c r="J51" s="701" t="s">
        <v>737</v>
      </c>
      <c r="K51" s="713" t="s">
        <v>691</v>
      </c>
      <c r="L51" s="703"/>
      <c r="M51" s="123">
        <v>1300</v>
      </c>
      <c r="N51" s="76">
        <v>2612.3000000000002</v>
      </c>
      <c r="O51" s="76">
        <v>1774.5</v>
      </c>
      <c r="P51" s="67"/>
      <c r="Q51" s="37"/>
      <c r="R51" s="68" t="s">
        <v>738</v>
      </c>
      <c r="S51" s="68" t="s">
        <v>739</v>
      </c>
      <c r="T51" s="37"/>
      <c r="U51" s="37"/>
      <c r="V51" s="59">
        <v>2603.1999999999998</v>
      </c>
      <c r="W51" s="108">
        <v>1782.9</v>
      </c>
    </row>
    <row r="52" spans="1:23" ht="25.5" x14ac:dyDescent="0.2">
      <c r="A52" s="60">
        <v>1520</v>
      </c>
      <c r="B52" s="60">
        <v>113</v>
      </c>
      <c r="C52" s="61"/>
      <c r="D52" s="62" t="s">
        <v>542</v>
      </c>
      <c r="E52" s="63"/>
      <c r="F52" s="115" t="s">
        <v>689</v>
      </c>
      <c r="G52" s="115"/>
      <c r="H52" s="781" t="s">
        <v>740</v>
      </c>
      <c r="I52" s="711" t="s">
        <v>488</v>
      </c>
      <c r="J52" s="701" t="s">
        <v>741</v>
      </c>
      <c r="K52" s="713" t="s">
        <v>691</v>
      </c>
      <c r="L52" s="703"/>
      <c r="M52" s="703"/>
      <c r="N52" s="100">
        <v>244.1</v>
      </c>
      <c r="O52" s="100">
        <v>313.73</v>
      </c>
      <c r="P52" s="67"/>
      <c r="Q52" s="37"/>
      <c r="R52" s="52"/>
      <c r="S52" s="52"/>
      <c r="T52" s="37"/>
      <c r="U52" s="37"/>
      <c r="V52" s="59">
        <v>387.86</v>
      </c>
      <c r="W52" s="59">
        <v>454.82</v>
      </c>
    </row>
    <row r="53" spans="1:23" ht="178.5" x14ac:dyDescent="0.2">
      <c r="A53" s="60">
        <v>1530</v>
      </c>
      <c r="B53" s="60"/>
      <c r="C53" s="61"/>
      <c r="D53" s="62"/>
      <c r="E53" s="63"/>
      <c r="F53" s="115"/>
      <c r="G53" s="115"/>
      <c r="H53" s="782"/>
      <c r="I53" s="711" t="s">
        <v>742</v>
      </c>
      <c r="J53" s="701"/>
      <c r="K53" s="713"/>
      <c r="L53" s="703"/>
      <c r="M53" s="123">
        <v>4000</v>
      </c>
      <c r="N53" s="100">
        <v>5126</v>
      </c>
      <c r="O53" s="100">
        <v>6588</v>
      </c>
      <c r="P53" s="67"/>
      <c r="Q53" s="37"/>
      <c r="R53" s="105" t="s">
        <v>743</v>
      </c>
      <c r="S53" s="52" t="s">
        <v>744</v>
      </c>
      <c r="T53" s="38" t="s">
        <v>745</v>
      </c>
      <c r="U53" s="37"/>
      <c r="V53" s="59">
        <v>8144.98</v>
      </c>
      <c r="W53" s="59">
        <v>9551.2999999999993</v>
      </c>
    </row>
    <row r="54" spans="1:23" x14ac:dyDescent="0.2">
      <c r="A54" s="60">
        <v>2011</v>
      </c>
      <c r="B54" s="60"/>
      <c r="C54" s="61">
        <v>4</v>
      </c>
      <c r="D54" s="62"/>
      <c r="E54" s="115" t="s">
        <v>689</v>
      </c>
      <c r="F54" s="115" t="s">
        <v>689</v>
      </c>
      <c r="G54" s="115"/>
      <c r="H54" s="138" t="s">
        <v>156</v>
      </c>
      <c r="I54" s="711" t="s">
        <v>742</v>
      </c>
      <c r="J54" s="713"/>
      <c r="K54" s="713"/>
      <c r="L54" s="703"/>
      <c r="M54" s="703"/>
      <c r="N54" s="43">
        <v>380.4</v>
      </c>
      <c r="O54" s="43">
        <v>451.4</v>
      </c>
      <c r="P54" s="67"/>
      <c r="Q54" s="37"/>
      <c r="R54" s="52"/>
      <c r="S54" s="52"/>
      <c r="T54" s="37"/>
      <c r="U54" s="37"/>
      <c r="V54" s="59">
        <v>582.1</v>
      </c>
      <c r="W54" s="59">
        <v>596.70000000000005</v>
      </c>
    </row>
    <row r="55" spans="1:23" ht="191.25" x14ac:dyDescent="0.2">
      <c r="A55" s="60">
        <v>2012</v>
      </c>
      <c r="B55" s="60">
        <v>114</v>
      </c>
      <c r="C55" s="61"/>
      <c r="D55" s="62" t="s">
        <v>542</v>
      </c>
      <c r="E55" s="78"/>
      <c r="F55" s="42"/>
      <c r="G55" s="42"/>
      <c r="H55" s="147" t="s">
        <v>159</v>
      </c>
      <c r="I55" s="712" t="s">
        <v>680</v>
      </c>
      <c r="J55" s="701"/>
      <c r="K55" s="713"/>
      <c r="L55" s="703"/>
      <c r="M55" s="84">
        <v>475</v>
      </c>
      <c r="N55" s="85">
        <v>1926</v>
      </c>
      <c r="O55" s="85">
        <v>2171</v>
      </c>
      <c r="P55" s="86"/>
      <c r="Q55" s="37" t="s">
        <v>655</v>
      </c>
      <c r="R55" s="80" t="s">
        <v>746</v>
      </c>
      <c r="S55" s="68" t="s">
        <v>747</v>
      </c>
      <c r="T55" s="38" t="s">
        <v>748</v>
      </c>
      <c r="U55" s="37"/>
      <c r="V55" s="59">
        <v>2811.94</v>
      </c>
      <c r="W55" s="108">
        <v>2406.33</v>
      </c>
    </row>
    <row r="56" spans="1:23" x14ac:dyDescent="0.2">
      <c r="A56" s="60">
        <v>2020</v>
      </c>
      <c r="B56" s="60">
        <v>121</v>
      </c>
      <c r="C56" s="61"/>
      <c r="D56" s="62"/>
      <c r="E56" s="78"/>
      <c r="F56" s="42"/>
      <c r="G56" s="42"/>
      <c r="H56" s="701" t="s">
        <v>162</v>
      </c>
      <c r="I56" s="712" t="s">
        <v>749</v>
      </c>
      <c r="J56" s="701"/>
      <c r="K56" s="713"/>
      <c r="L56" s="703"/>
      <c r="M56" s="84">
        <v>225</v>
      </c>
      <c r="N56" s="114">
        <v>496</v>
      </c>
      <c r="O56" s="114">
        <v>1868</v>
      </c>
      <c r="P56" s="148"/>
      <c r="Q56" s="37" t="s">
        <v>683</v>
      </c>
      <c r="R56" s="52"/>
      <c r="S56" s="52"/>
      <c r="T56" s="37"/>
      <c r="U56" s="37"/>
      <c r="V56" s="59">
        <v>2236</v>
      </c>
      <c r="W56" s="59">
        <v>2441</v>
      </c>
    </row>
    <row r="57" spans="1:23" x14ac:dyDescent="0.2">
      <c r="A57" s="783"/>
      <c r="B57" s="783"/>
      <c r="C57" s="783"/>
      <c r="D57" s="117"/>
      <c r="E57" s="783" t="s">
        <v>750</v>
      </c>
      <c r="F57" s="783"/>
      <c r="G57" s="783"/>
      <c r="H57" s="783"/>
      <c r="I57" s="783"/>
      <c r="J57" s="783"/>
      <c r="K57" s="783"/>
      <c r="L57" s="783"/>
      <c r="M57" s="783"/>
      <c r="N57" s="783"/>
      <c r="O57" s="118"/>
      <c r="P57" s="119"/>
      <c r="Q57" s="37"/>
      <c r="R57" s="74"/>
      <c r="S57" s="74"/>
      <c r="T57" s="75"/>
      <c r="U57" s="75"/>
      <c r="V57" s="59"/>
      <c r="W57" s="59"/>
    </row>
    <row r="58" spans="1:23" x14ac:dyDescent="0.2">
      <c r="A58" s="60"/>
      <c r="B58" s="60"/>
      <c r="C58" s="61"/>
      <c r="D58" s="62" t="s">
        <v>542</v>
      </c>
      <c r="E58" s="63"/>
      <c r="F58" s="149"/>
      <c r="G58" s="42" t="s">
        <v>751</v>
      </c>
      <c r="H58" s="707"/>
      <c r="I58" s="711"/>
      <c r="J58" s="72"/>
      <c r="K58" s="150"/>
      <c r="L58" s="150"/>
      <c r="M58" s="150"/>
      <c r="N58" s="76"/>
      <c r="O58" s="76"/>
      <c r="P58" s="67"/>
      <c r="Q58" s="37"/>
      <c r="R58" s="52" t="s">
        <v>752</v>
      </c>
      <c r="S58" s="52" t="s">
        <v>753</v>
      </c>
      <c r="T58" s="75"/>
      <c r="U58" s="75"/>
      <c r="V58" s="59"/>
      <c r="W58" s="59"/>
    </row>
    <row r="59" spans="1:23" ht="25.5" x14ac:dyDescent="0.2">
      <c r="A59" s="60">
        <v>2030</v>
      </c>
      <c r="B59" s="60">
        <v>302</v>
      </c>
      <c r="C59" s="61"/>
      <c r="D59" s="62"/>
      <c r="E59" s="151"/>
      <c r="F59" s="152"/>
      <c r="G59" s="75"/>
      <c r="H59" s="72" t="s">
        <v>754</v>
      </c>
      <c r="I59" s="711" t="s">
        <v>666</v>
      </c>
      <c r="J59" s="793" t="s">
        <v>755</v>
      </c>
      <c r="K59" s="793" t="s">
        <v>704</v>
      </c>
      <c r="L59" s="794" t="s">
        <v>650</v>
      </c>
      <c r="M59" s="153" t="s">
        <v>756</v>
      </c>
      <c r="N59" s="76">
        <v>6016</v>
      </c>
      <c r="O59" s="154">
        <v>4686</v>
      </c>
      <c r="P59" s="67"/>
      <c r="Q59" s="37"/>
      <c r="R59" s="74"/>
      <c r="S59" s="74"/>
      <c r="T59" s="75"/>
      <c r="U59" s="75"/>
      <c r="V59" s="59">
        <v>4917</v>
      </c>
      <c r="W59" s="108">
        <v>4387.12</v>
      </c>
    </row>
    <row r="60" spans="1:23" x14ac:dyDescent="0.2">
      <c r="A60" s="60">
        <v>2040</v>
      </c>
      <c r="B60" s="60">
        <v>302</v>
      </c>
      <c r="C60" s="61"/>
      <c r="D60" s="62"/>
      <c r="E60" s="151"/>
      <c r="F60" s="152"/>
      <c r="G60" s="155"/>
      <c r="H60" s="72" t="s">
        <v>757</v>
      </c>
      <c r="I60" s="711" t="s">
        <v>169</v>
      </c>
      <c r="J60" s="793"/>
      <c r="K60" s="793"/>
      <c r="L60" s="795"/>
      <c r="M60" s="156">
        <v>30.49</v>
      </c>
      <c r="N60" s="76">
        <v>80.209999999999994</v>
      </c>
      <c r="O60" s="154">
        <v>62.48</v>
      </c>
      <c r="P60" s="67"/>
      <c r="Q60" s="37"/>
      <c r="R60" s="52"/>
      <c r="S60" s="52"/>
      <c r="T60" s="37"/>
      <c r="U60" s="37"/>
      <c r="V60" s="59">
        <v>65.56</v>
      </c>
      <c r="W60" s="108">
        <v>58.49</v>
      </c>
    </row>
    <row r="61" spans="1:23" x14ac:dyDescent="0.2">
      <c r="A61" s="60">
        <v>2060</v>
      </c>
      <c r="B61" s="60">
        <v>303</v>
      </c>
      <c r="C61" s="61"/>
      <c r="D61" s="62"/>
      <c r="E61" s="151"/>
      <c r="F61" s="152"/>
      <c r="G61" s="155"/>
      <c r="H61" s="72" t="s">
        <v>758</v>
      </c>
      <c r="I61" s="711" t="s">
        <v>666</v>
      </c>
      <c r="J61" s="793"/>
      <c r="K61" s="793"/>
      <c r="L61" s="795"/>
      <c r="M61" s="156">
        <v>13326.51</v>
      </c>
      <c r="N61" s="76">
        <v>35209</v>
      </c>
      <c r="O61" s="154">
        <v>33535</v>
      </c>
      <c r="P61" s="67"/>
      <c r="Q61" s="37"/>
      <c r="R61" s="74"/>
      <c r="S61" s="74"/>
      <c r="T61" s="75"/>
      <c r="U61" s="75"/>
      <c r="V61" s="59">
        <v>34264.629999999997</v>
      </c>
      <c r="W61" s="108">
        <v>28679.599999999999</v>
      </c>
    </row>
    <row r="62" spans="1:23" ht="25.5" x14ac:dyDescent="0.2">
      <c r="A62" s="60">
        <v>2070</v>
      </c>
      <c r="B62" s="60">
        <v>303</v>
      </c>
      <c r="C62" s="61"/>
      <c r="D62" s="62"/>
      <c r="E62" s="151"/>
      <c r="F62" s="152"/>
      <c r="G62" s="155"/>
      <c r="H62" s="72" t="s">
        <v>759</v>
      </c>
      <c r="I62" s="711" t="s">
        <v>169</v>
      </c>
      <c r="J62" s="793"/>
      <c r="K62" s="793"/>
      <c r="L62" s="796"/>
      <c r="M62" s="153" t="s">
        <v>760</v>
      </c>
      <c r="N62" s="76">
        <v>48.56</v>
      </c>
      <c r="O62" s="154">
        <v>46.24</v>
      </c>
      <c r="P62" s="67"/>
      <c r="Q62" s="37"/>
      <c r="R62" s="74"/>
      <c r="S62" s="74"/>
      <c r="T62" s="75"/>
      <c r="U62" s="75"/>
      <c r="V62" s="59">
        <v>47.26</v>
      </c>
      <c r="W62" s="108">
        <v>39.56</v>
      </c>
    </row>
    <row r="63" spans="1:23" x14ac:dyDescent="0.2">
      <c r="A63" s="60"/>
      <c r="B63" s="60"/>
      <c r="C63" s="61">
        <v>5</v>
      </c>
      <c r="D63" s="62" t="s">
        <v>542</v>
      </c>
      <c r="E63" s="157"/>
      <c r="F63" s="155"/>
      <c r="G63" s="798" t="s">
        <v>761</v>
      </c>
      <c r="H63" s="799"/>
      <c r="I63" s="158"/>
      <c r="J63" s="713"/>
      <c r="K63" s="78"/>
      <c r="L63" s="78"/>
      <c r="M63" s="78"/>
      <c r="N63" s="159"/>
      <c r="O63" s="160"/>
      <c r="P63" s="67"/>
      <c r="Q63" s="37"/>
      <c r="R63" s="52"/>
      <c r="S63" s="52"/>
      <c r="T63" s="37"/>
      <c r="U63" s="37"/>
      <c r="V63" s="59"/>
      <c r="W63" s="59"/>
    </row>
    <row r="64" spans="1:23" x14ac:dyDescent="0.2">
      <c r="A64" s="60">
        <v>2080</v>
      </c>
      <c r="B64" s="60"/>
      <c r="C64" s="61"/>
      <c r="D64" s="62"/>
      <c r="E64" s="157"/>
      <c r="F64" s="161"/>
      <c r="G64" s="155"/>
      <c r="H64" s="162" t="s">
        <v>762</v>
      </c>
      <c r="I64" s="711" t="s">
        <v>169</v>
      </c>
      <c r="J64" s="800" t="s">
        <v>763</v>
      </c>
      <c r="K64" s="793" t="s">
        <v>704</v>
      </c>
      <c r="L64" s="800" t="s">
        <v>764</v>
      </c>
      <c r="M64" s="705"/>
      <c r="N64" s="159">
        <v>3458.3</v>
      </c>
      <c r="O64" s="160">
        <v>3804</v>
      </c>
      <c r="P64" s="67"/>
      <c r="Q64" s="37"/>
      <c r="R64" s="52"/>
      <c r="S64" s="52"/>
      <c r="T64" s="37"/>
      <c r="U64" s="37"/>
      <c r="V64" s="59">
        <v>3944.6</v>
      </c>
      <c r="W64" s="59">
        <v>4062.24</v>
      </c>
    </row>
    <row r="65" spans="1:23" x14ac:dyDescent="0.2">
      <c r="A65" s="60">
        <v>2090</v>
      </c>
      <c r="B65" s="60"/>
      <c r="C65" s="61"/>
      <c r="D65" s="62"/>
      <c r="E65" s="157"/>
      <c r="F65" s="161"/>
      <c r="G65" s="155"/>
      <c r="H65" s="162" t="s">
        <v>765</v>
      </c>
      <c r="I65" s="711" t="s">
        <v>169</v>
      </c>
      <c r="J65" s="800"/>
      <c r="K65" s="793"/>
      <c r="L65" s="800"/>
      <c r="M65" s="705"/>
      <c r="N65" s="159">
        <v>4698</v>
      </c>
      <c r="O65" s="160">
        <v>5073</v>
      </c>
      <c r="P65" s="67"/>
      <c r="Q65" s="37"/>
      <c r="R65" s="52"/>
      <c r="S65" s="52"/>
      <c r="T65" s="37"/>
      <c r="U65" s="37"/>
      <c r="V65" s="59">
        <v>6138</v>
      </c>
      <c r="W65" s="59">
        <v>6332</v>
      </c>
    </row>
    <row r="66" spans="1:23" ht="25.5" x14ac:dyDescent="0.2">
      <c r="A66" s="60">
        <v>2100</v>
      </c>
      <c r="B66" s="60">
        <v>304</v>
      </c>
      <c r="C66" s="61"/>
      <c r="D66" s="62"/>
      <c r="E66" s="155" t="s">
        <v>689</v>
      </c>
      <c r="F66" s="155" t="s">
        <v>689</v>
      </c>
      <c r="G66" s="42" t="s">
        <v>176</v>
      </c>
      <c r="H66" s="701"/>
      <c r="I66" s="711" t="s">
        <v>484</v>
      </c>
      <c r="J66" s="701" t="s">
        <v>766</v>
      </c>
      <c r="K66" s="713"/>
      <c r="L66" s="72"/>
      <c r="M66" s="163">
        <v>2.5</v>
      </c>
      <c r="N66" s="164">
        <v>7.52</v>
      </c>
      <c r="O66" s="165">
        <v>11.01</v>
      </c>
      <c r="P66" s="67"/>
      <c r="Q66" s="37"/>
      <c r="R66" s="52" t="s">
        <v>767</v>
      </c>
      <c r="S66" s="52" t="s">
        <v>768</v>
      </c>
      <c r="T66" s="37"/>
      <c r="U66" s="37"/>
      <c r="V66" s="59">
        <v>13.5</v>
      </c>
      <c r="W66" s="59">
        <v>14.4</v>
      </c>
    </row>
    <row r="67" spans="1:23" x14ac:dyDescent="0.2">
      <c r="A67" s="60"/>
      <c r="B67" s="60"/>
      <c r="C67" s="61">
        <v>6</v>
      </c>
      <c r="D67" s="62"/>
      <c r="E67" s="157"/>
      <c r="F67" s="149"/>
      <c r="G67" s="42" t="s">
        <v>769</v>
      </c>
      <c r="H67" s="701"/>
      <c r="I67" s="166"/>
      <c r="J67" s="167"/>
      <c r="K67" s="167"/>
      <c r="L67" s="72"/>
      <c r="M67" s="72"/>
      <c r="N67" s="168"/>
      <c r="O67" s="165"/>
      <c r="P67" s="67"/>
      <c r="Q67" s="37"/>
      <c r="R67" s="52"/>
      <c r="S67" s="52"/>
      <c r="T67" s="37"/>
      <c r="U67" s="37"/>
      <c r="V67" s="59"/>
      <c r="W67" s="59"/>
    </row>
    <row r="68" spans="1:23" x14ac:dyDescent="0.2">
      <c r="A68" s="60">
        <v>2110</v>
      </c>
      <c r="B68" s="60"/>
      <c r="C68" s="61"/>
      <c r="D68" s="62"/>
      <c r="E68" s="151"/>
      <c r="F68" s="152"/>
      <c r="G68" s="155"/>
      <c r="H68" s="701" t="s">
        <v>770</v>
      </c>
      <c r="I68" s="712" t="s">
        <v>180</v>
      </c>
      <c r="J68" s="167"/>
      <c r="K68" s="167"/>
      <c r="L68" s="167"/>
      <c r="M68" s="167"/>
      <c r="N68" s="100">
        <f>511.53*(1+5%)^2</f>
        <v>563.96182499999998</v>
      </c>
      <c r="O68" s="169">
        <v>504.69</v>
      </c>
      <c r="P68" s="67"/>
      <c r="Q68" s="37"/>
      <c r="R68" s="52"/>
      <c r="S68" s="52"/>
      <c r="T68" s="37"/>
      <c r="U68" s="37"/>
      <c r="V68" s="59">
        <v>505.28</v>
      </c>
      <c r="W68" s="59">
        <v>574.32000000000005</v>
      </c>
    </row>
    <row r="69" spans="1:23" x14ac:dyDescent="0.2">
      <c r="A69" s="60">
        <v>2120</v>
      </c>
      <c r="B69" s="60"/>
      <c r="C69" s="61"/>
      <c r="D69" s="62"/>
      <c r="E69" s="151"/>
      <c r="F69" s="152"/>
      <c r="G69" s="155"/>
      <c r="H69" s="701" t="s">
        <v>771</v>
      </c>
      <c r="I69" s="712" t="s">
        <v>180</v>
      </c>
      <c r="J69" s="167"/>
      <c r="K69" s="167"/>
      <c r="L69" s="167"/>
      <c r="M69" s="167"/>
      <c r="N69" s="100">
        <f>374.4*(1+5%)^2</f>
        <v>412.77600000000001</v>
      </c>
      <c r="O69" s="169">
        <v>322.58</v>
      </c>
      <c r="P69" s="67"/>
      <c r="Q69" s="37"/>
      <c r="R69" s="52"/>
      <c r="S69" s="52"/>
      <c r="T69" s="37"/>
      <c r="U69" s="37"/>
      <c r="V69" s="59">
        <v>315.25</v>
      </c>
      <c r="W69" s="59">
        <v>359.25</v>
      </c>
    </row>
    <row r="70" spans="1:23" x14ac:dyDescent="0.2">
      <c r="A70" s="60">
        <v>3021</v>
      </c>
      <c r="B70" s="60"/>
      <c r="C70" s="61"/>
      <c r="D70" s="62"/>
      <c r="E70" s="151"/>
      <c r="F70" s="152"/>
      <c r="G70" s="155"/>
      <c r="H70" s="701" t="s">
        <v>772</v>
      </c>
      <c r="I70" s="712" t="s">
        <v>180</v>
      </c>
      <c r="J70" s="167"/>
      <c r="K70" s="167"/>
      <c r="L70" s="167"/>
      <c r="M70" s="167"/>
      <c r="N70" s="100">
        <f>287.84*(1+5%)^2</f>
        <v>317.34359999999998</v>
      </c>
      <c r="O70" s="169">
        <v>266.25</v>
      </c>
      <c r="P70" s="67"/>
      <c r="Q70" s="37"/>
      <c r="R70" s="52"/>
      <c r="S70" s="52"/>
      <c r="T70" s="37"/>
      <c r="U70" s="37"/>
      <c r="V70" s="59">
        <v>258.12</v>
      </c>
      <c r="W70" s="59">
        <v>293.27</v>
      </c>
    </row>
    <row r="71" spans="1:23" x14ac:dyDescent="0.2">
      <c r="A71" s="60">
        <v>3022</v>
      </c>
      <c r="B71" s="60"/>
      <c r="C71" s="61"/>
      <c r="D71" s="62"/>
      <c r="E71" s="151"/>
      <c r="F71" s="152"/>
      <c r="G71" s="155"/>
      <c r="H71" s="701" t="s">
        <v>773</v>
      </c>
      <c r="I71" s="712" t="s">
        <v>180</v>
      </c>
      <c r="J71" s="167"/>
      <c r="K71" s="167"/>
      <c r="L71" s="167"/>
      <c r="M71" s="167"/>
      <c r="N71" s="100">
        <f>236.55*(1+5%)^2</f>
        <v>260.79637500000001</v>
      </c>
      <c r="O71" s="169">
        <v>241.87</v>
      </c>
      <c r="P71" s="101"/>
      <c r="Q71" s="37"/>
      <c r="R71" s="52"/>
      <c r="S71" s="52"/>
      <c r="T71" s="37"/>
      <c r="U71" s="37"/>
      <c r="V71" s="59">
        <v>227.9</v>
      </c>
      <c r="W71" s="59">
        <v>260.07</v>
      </c>
    </row>
    <row r="72" spans="1:23" x14ac:dyDescent="0.2">
      <c r="A72" s="60"/>
      <c r="B72" s="60"/>
      <c r="C72" s="61"/>
      <c r="D72" s="62"/>
      <c r="E72" s="63"/>
      <c r="F72" s="64"/>
      <c r="G72" s="155"/>
      <c r="H72" s="704" t="s">
        <v>774</v>
      </c>
      <c r="I72" s="712"/>
      <c r="J72" s="167"/>
      <c r="K72" s="167"/>
      <c r="L72" s="167"/>
      <c r="M72" s="167"/>
      <c r="N72" s="100"/>
      <c r="O72" s="100"/>
      <c r="P72" s="101"/>
      <c r="Q72" s="37" t="s">
        <v>683</v>
      </c>
      <c r="R72" s="52"/>
      <c r="S72" s="74"/>
      <c r="T72" s="37"/>
      <c r="U72" s="37"/>
      <c r="V72" s="59"/>
      <c r="W72" s="59"/>
    </row>
    <row r="73" spans="1:23" x14ac:dyDescent="0.2">
      <c r="A73" s="60">
        <v>3031</v>
      </c>
      <c r="B73" s="60">
        <v>307</v>
      </c>
      <c r="C73" s="61"/>
      <c r="D73" s="62"/>
      <c r="E73" s="63"/>
      <c r="F73" s="64"/>
      <c r="G73" s="155"/>
      <c r="H73" s="701" t="s">
        <v>775</v>
      </c>
      <c r="I73" s="701" t="s">
        <v>193</v>
      </c>
      <c r="J73" s="167"/>
      <c r="K73" s="167"/>
      <c r="L73" s="167"/>
      <c r="M73" s="163">
        <v>3570</v>
      </c>
      <c r="N73" s="112">
        <v>4632</v>
      </c>
      <c r="O73" s="112">
        <v>5376</v>
      </c>
      <c r="P73" s="170"/>
      <c r="Q73" s="37" t="s">
        <v>683</v>
      </c>
      <c r="R73" s="52" t="s">
        <v>776</v>
      </c>
      <c r="S73" s="52" t="s">
        <v>777</v>
      </c>
      <c r="T73" s="38"/>
      <c r="U73" s="37"/>
      <c r="V73" s="59">
        <v>5191</v>
      </c>
      <c r="W73" s="59">
        <v>5491</v>
      </c>
    </row>
    <row r="74" spans="1:23" x14ac:dyDescent="0.2">
      <c r="A74" s="60">
        <v>3032</v>
      </c>
      <c r="B74" s="60">
        <v>308</v>
      </c>
      <c r="C74" s="61"/>
      <c r="D74" s="62"/>
      <c r="E74" s="63"/>
      <c r="F74" s="64"/>
      <c r="G74" s="155"/>
      <c r="H74" s="701" t="s">
        <v>778</v>
      </c>
      <c r="I74" s="701" t="s">
        <v>193</v>
      </c>
      <c r="J74" s="167"/>
      <c r="K74" s="167"/>
      <c r="L74" s="167"/>
      <c r="M74" s="163">
        <v>1500</v>
      </c>
      <c r="N74" s="112">
        <v>2204</v>
      </c>
      <c r="O74" s="112">
        <v>2150</v>
      </c>
      <c r="P74" s="170"/>
      <c r="Q74" s="37" t="s">
        <v>683</v>
      </c>
      <c r="R74" s="52"/>
      <c r="S74" s="74"/>
      <c r="T74" s="37"/>
      <c r="U74" s="37"/>
      <c r="V74" s="59">
        <v>2035</v>
      </c>
      <c r="W74" s="59">
        <v>2266</v>
      </c>
    </row>
    <row r="75" spans="1:23" x14ac:dyDescent="0.2">
      <c r="A75" s="60">
        <v>3040</v>
      </c>
      <c r="B75" s="60">
        <v>309</v>
      </c>
      <c r="C75" s="61"/>
      <c r="D75" s="62"/>
      <c r="E75" s="63"/>
      <c r="F75" s="64"/>
      <c r="G75" s="155"/>
      <c r="H75" s="701" t="s">
        <v>779</v>
      </c>
      <c r="I75" s="701" t="s">
        <v>780</v>
      </c>
      <c r="J75" s="167"/>
      <c r="K75" s="167"/>
      <c r="L75" s="167"/>
      <c r="M75" s="163">
        <v>110</v>
      </c>
      <c r="N75" s="112">
        <v>115</v>
      </c>
      <c r="O75" s="112">
        <v>138</v>
      </c>
      <c r="P75" s="170"/>
      <c r="Q75" s="37" t="s">
        <v>683</v>
      </c>
      <c r="R75" s="52"/>
      <c r="S75" s="74"/>
      <c r="T75" s="37"/>
      <c r="U75" s="37"/>
      <c r="V75" s="59">
        <v>261.04000000000002</v>
      </c>
      <c r="W75" s="59">
        <v>264.83</v>
      </c>
    </row>
    <row r="76" spans="1:23" x14ac:dyDescent="0.2">
      <c r="A76" s="60">
        <v>3070</v>
      </c>
      <c r="B76" s="60">
        <v>310</v>
      </c>
      <c r="C76" s="61"/>
      <c r="D76" s="62"/>
      <c r="E76" s="63"/>
      <c r="F76" s="64"/>
      <c r="G76" s="155"/>
      <c r="H76" s="701" t="s">
        <v>781</v>
      </c>
      <c r="I76" s="701" t="s">
        <v>780</v>
      </c>
      <c r="J76" s="167"/>
      <c r="K76" s="167"/>
      <c r="L76" s="167"/>
      <c r="M76" s="163">
        <v>200</v>
      </c>
      <c r="N76" s="112">
        <v>202</v>
      </c>
      <c r="O76" s="112">
        <v>222.51</v>
      </c>
      <c r="P76" s="170"/>
      <c r="Q76" s="37" t="s">
        <v>683</v>
      </c>
      <c r="R76" s="52"/>
      <c r="S76" s="74"/>
      <c r="T76" s="37"/>
      <c r="U76" s="37"/>
      <c r="V76" s="59">
        <v>196.51</v>
      </c>
      <c r="W76" s="108">
        <v>173.5</v>
      </c>
    </row>
    <row r="77" spans="1:23" ht="306" x14ac:dyDescent="0.2">
      <c r="A77" s="60">
        <v>3080</v>
      </c>
      <c r="B77" s="60">
        <v>311</v>
      </c>
      <c r="C77" s="61"/>
      <c r="D77" s="62"/>
      <c r="E77" s="63"/>
      <c r="F77" s="64"/>
      <c r="G77" s="155"/>
      <c r="H77" s="701" t="s">
        <v>782</v>
      </c>
      <c r="I77" s="701" t="s">
        <v>193</v>
      </c>
      <c r="J77" s="171" t="s">
        <v>783</v>
      </c>
      <c r="K77" s="167"/>
      <c r="L77" s="167"/>
      <c r="M77" s="163">
        <v>287.7</v>
      </c>
      <c r="N77" s="112">
        <v>605</v>
      </c>
      <c r="O77" s="112">
        <v>655</v>
      </c>
      <c r="P77" s="170"/>
      <c r="Q77" s="37" t="s">
        <v>683</v>
      </c>
      <c r="R77" s="68" t="s">
        <v>784</v>
      </c>
      <c r="S77" s="52" t="s">
        <v>785</v>
      </c>
      <c r="T77" s="38" t="s">
        <v>786</v>
      </c>
      <c r="U77" s="37"/>
      <c r="V77" s="59">
        <v>967</v>
      </c>
      <c r="W77" s="59">
        <v>986</v>
      </c>
    </row>
    <row r="78" spans="1:23" x14ac:dyDescent="0.2">
      <c r="A78" s="60">
        <v>3090</v>
      </c>
      <c r="B78" s="60">
        <v>313</v>
      </c>
      <c r="C78" s="61"/>
      <c r="D78" s="62"/>
      <c r="E78" s="63"/>
      <c r="F78" s="64"/>
      <c r="G78" s="155"/>
      <c r="H78" s="147" t="s">
        <v>787</v>
      </c>
      <c r="I78" s="701" t="s">
        <v>788</v>
      </c>
      <c r="J78" s="167"/>
      <c r="K78" s="167"/>
      <c r="L78" s="167"/>
      <c r="M78" s="163">
        <v>220</v>
      </c>
      <c r="N78" s="112">
        <v>609</v>
      </c>
      <c r="O78" s="112">
        <v>661</v>
      </c>
      <c r="P78" s="148"/>
      <c r="Q78" s="37" t="s">
        <v>683</v>
      </c>
      <c r="R78" s="52"/>
      <c r="S78" s="74"/>
      <c r="T78" s="37"/>
      <c r="U78" s="37"/>
      <c r="V78" s="59">
        <v>969.8</v>
      </c>
      <c r="W78" s="59">
        <v>994.4</v>
      </c>
    </row>
    <row r="79" spans="1:23" x14ac:dyDescent="0.2">
      <c r="A79" s="60">
        <v>3100</v>
      </c>
      <c r="B79" s="60">
        <v>314</v>
      </c>
      <c r="C79" s="61"/>
      <c r="D79" s="62"/>
      <c r="E79" s="63"/>
      <c r="F79" s="64"/>
      <c r="G79" s="155"/>
      <c r="H79" s="147" t="s">
        <v>212</v>
      </c>
      <c r="I79" s="701" t="s">
        <v>679</v>
      </c>
      <c r="J79" s="167"/>
      <c r="K79" s="167"/>
      <c r="L79" s="167"/>
      <c r="M79" s="163">
        <v>1260</v>
      </c>
      <c r="N79" s="112">
        <v>2232</v>
      </c>
      <c r="O79" s="112">
        <v>2363.0700000000002</v>
      </c>
      <c r="P79" s="148"/>
      <c r="Q79" s="37" t="s">
        <v>683</v>
      </c>
      <c r="R79" s="52"/>
      <c r="S79" s="74"/>
      <c r="T79" s="37"/>
      <c r="U79" s="37"/>
      <c r="V79" s="59">
        <v>3026.16</v>
      </c>
      <c r="W79" s="59">
        <v>3213.93</v>
      </c>
    </row>
    <row r="80" spans="1:23" x14ac:dyDescent="0.2">
      <c r="A80" s="783"/>
      <c r="B80" s="783"/>
      <c r="C80" s="783"/>
      <c r="D80" s="117"/>
      <c r="E80" s="783" t="s">
        <v>789</v>
      </c>
      <c r="F80" s="783"/>
      <c r="G80" s="783"/>
      <c r="H80" s="783"/>
      <c r="I80" s="783"/>
      <c r="J80" s="783"/>
      <c r="K80" s="783"/>
      <c r="L80" s="783"/>
      <c r="M80" s="783"/>
      <c r="N80" s="783"/>
      <c r="O80" s="118"/>
      <c r="P80" s="119"/>
      <c r="Q80" s="37"/>
      <c r="R80" s="74"/>
      <c r="S80" s="74"/>
      <c r="T80" s="75"/>
      <c r="U80" s="75"/>
      <c r="V80" s="59"/>
      <c r="W80" s="59"/>
    </row>
    <row r="81" spans="1:23" x14ac:dyDescent="0.2">
      <c r="A81" s="60"/>
      <c r="B81" s="60"/>
      <c r="C81" s="61"/>
      <c r="D81" s="62" t="s">
        <v>542</v>
      </c>
      <c r="E81" s="151"/>
      <c r="F81" s="172"/>
      <c r="G81" s="797" t="s">
        <v>790</v>
      </c>
      <c r="H81" s="797"/>
      <c r="I81" s="711"/>
      <c r="J81" s="75"/>
      <c r="K81" s="701" t="s">
        <v>704</v>
      </c>
      <c r="L81" s="150" t="s">
        <v>791</v>
      </c>
      <c r="M81" s="173"/>
      <c r="N81" s="150" t="s">
        <v>792</v>
      </c>
      <c r="O81" s="150"/>
      <c r="P81" s="174"/>
      <c r="Q81" s="37"/>
      <c r="R81" s="52" t="s">
        <v>793</v>
      </c>
      <c r="S81" s="52" t="s">
        <v>794</v>
      </c>
      <c r="T81" s="75"/>
      <c r="U81" s="75"/>
      <c r="V81" s="59"/>
      <c r="W81" s="59"/>
    </row>
    <row r="82" spans="1:23" x14ac:dyDescent="0.2">
      <c r="A82" s="60">
        <v>3110</v>
      </c>
      <c r="B82" s="175">
        <v>409410</v>
      </c>
      <c r="C82" s="61"/>
      <c r="D82" s="62"/>
      <c r="E82" s="151"/>
      <c r="F82" s="152"/>
      <c r="G82" s="42"/>
      <c r="H82" s="162" t="s">
        <v>795</v>
      </c>
      <c r="I82" s="146" t="s">
        <v>666</v>
      </c>
      <c r="J82" s="781" t="s">
        <v>796</v>
      </c>
      <c r="K82" s="701"/>
      <c r="L82" s="793" t="s">
        <v>797</v>
      </c>
      <c r="M82" s="176">
        <v>8395</v>
      </c>
      <c r="N82" s="159">
        <v>22237</v>
      </c>
      <c r="O82" s="160">
        <v>52956</v>
      </c>
      <c r="P82" s="177"/>
      <c r="Q82" s="37"/>
      <c r="R82" s="74"/>
      <c r="S82" s="74"/>
      <c r="T82" s="75"/>
      <c r="U82" s="75"/>
      <c r="V82" s="59">
        <v>54220</v>
      </c>
      <c r="W82" s="108">
        <v>52854.6</v>
      </c>
    </row>
    <row r="83" spans="1:23" x14ac:dyDescent="0.2">
      <c r="A83" s="60">
        <v>3130</v>
      </c>
      <c r="B83" s="175">
        <v>409410</v>
      </c>
      <c r="C83" s="61"/>
      <c r="D83" s="62"/>
      <c r="E83" s="151"/>
      <c r="F83" s="152"/>
      <c r="G83" s="42"/>
      <c r="H83" s="162" t="s">
        <v>795</v>
      </c>
      <c r="I83" s="146" t="s">
        <v>169</v>
      </c>
      <c r="J83" s="787"/>
      <c r="K83" s="701"/>
      <c r="L83" s="793"/>
      <c r="M83" s="176">
        <v>9.15</v>
      </c>
      <c r="N83" s="159">
        <v>29.07</v>
      </c>
      <c r="O83" s="160">
        <v>28.24</v>
      </c>
      <c r="P83" s="177"/>
      <c r="Q83" s="37"/>
      <c r="R83" s="74"/>
      <c r="S83" s="74"/>
      <c r="T83" s="75"/>
      <c r="U83" s="75"/>
      <c r="V83" s="59">
        <v>27.32</v>
      </c>
      <c r="W83" s="59">
        <v>28.19</v>
      </c>
    </row>
    <row r="84" spans="1:23" x14ac:dyDescent="0.2">
      <c r="A84" s="60">
        <v>3140</v>
      </c>
      <c r="B84" s="175">
        <v>411</v>
      </c>
      <c r="C84" s="61"/>
      <c r="D84" s="62"/>
      <c r="E84" s="157"/>
      <c r="F84" s="161"/>
      <c r="G84" s="42"/>
      <c r="H84" s="178" t="s">
        <v>798</v>
      </c>
      <c r="I84" s="179" t="s">
        <v>666</v>
      </c>
      <c r="J84" s="787"/>
      <c r="K84" s="701"/>
      <c r="L84" s="793"/>
      <c r="M84" s="180"/>
      <c r="N84" s="164">
        <v>73028</v>
      </c>
      <c r="O84" s="165">
        <v>79528</v>
      </c>
      <c r="P84" s="181"/>
      <c r="Q84" s="37"/>
      <c r="R84" s="74"/>
      <c r="S84" s="74"/>
      <c r="T84" s="75"/>
      <c r="U84" s="75"/>
      <c r="V84" s="59">
        <v>76994</v>
      </c>
      <c r="W84" s="59">
        <v>79891.5</v>
      </c>
    </row>
    <row r="85" spans="1:23" x14ac:dyDescent="0.2">
      <c r="A85" s="60">
        <v>3150</v>
      </c>
      <c r="B85" s="175">
        <v>411</v>
      </c>
      <c r="C85" s="61"/>
      <c r="D85" s="62"/>
      <c r="E85" s="157"/>
      <c r="F85" s="161"/>
      <c r="G85" s="42"/>
      <c r="H85" s="178" t="s">
        <v>798</v>
      </c>
      <c r="I85" s="179" t="s">
        <v>169</v>
      </c>
      <c r="J85" s="787"/>
      <c r="K85" s="701"/>
      <c r="L85" s="793"/>
      <c r="M85" s="180"/>
      <c r="N85" s="164">
        <v>18.260000000000002</v>
      </c>
      <c r="O85" s="165">
        <v>22.28</v>
      </c>
      <c r="P85" s="181"/>
      <c r="Q85" s="37"/>
      <c r="R85" s="74"/>
      <c r="S85" s="74"/>
      <c r="T85" s="75"/>
      <c r="U85" s="75"/>
      <c r="V85" s="59">
        <v>21.57</v>
      </c>
      <c r="W85" s="59">
        <v>22.38</v>
      </c>
    </row>
    <row r="86" spans="1:23" x14ac:dyDescent="0.2">
      <c r="A86" s="60">
        <v>4011</v>
      </c>
      <c r="B86" s="175">
        <v>411</v>
      </c>
      <c r="C86" s="61"/>
      <c r="D86" s="62"/>
      <c r="E86" s="182"/>
      <c r="F86" s="183"/>
      <c r="G86" s="42"/>
      <c r="H86" s="162" t="s">
        <v>799</v>
      </c>
      <c r="I86" s="146" t="s">
        <v>666</v>
      </c>
      <c r="J86" s="787"/>
      <c r="K86" s="701"/>
      <c r="L86" s="793"/>
      <c r="M86" s="180">
        <v>13700</v>
      </c>
      <c r="N86" s="164">
        <v>193010</v>
      </c>
      <c r="O86" s="165">
        <v>145217</v>
      </c>
      <c r="P86" s="181"/>
      <c r="Q86" s="37"/>
      <c r="R86" s="74"/>
      <c r="S86" s="74"/>
      <c r="T86" s="75"/>
      <c r="U86" s="75"/>
      <c r="V86" s="59">
        <v>140385.20000000001</v>
      </c>
      <c r="W86" s="59">
        <v>144677.5</v>
      </c>
    </row>
    <row r="87" spans="1:23" x14ac:dyDescent="0.2">
      <c r="A87" s="60">
        <v>4012</v>
      </c>
      <c r="B87" s="175">
        <v>411</v>
      </c>
      <c r="C87" s="61"/>
      <c r="D87" s="62"/>
      <c r="E87" s="182"/>
      <c r="F87" s="183"/>
      <c r="G87" s="42"/>
      <c r="H87" s="162" t="s">
        <v>799</v>
      </c>
      <c r="I87" s="146" t="s">
        <v>169</v>
      </c>
      <c r="J87" s="787"/>
      <c r="K87" s="701"/>
      <c r="L87" s="793"/>
      <c r="M87" s="180">
        <v>6.5</v>
      </c>
      <c r="N87" s="164">
        <v>31.64</v>
      </c>
      <c r="O87" s="165">
        <v>23.81</v>
      </c>
      <c r="P87" s="181"/>
      <c r="Q87" s="37"/>
      <c r="R87" s="74"/>
      <c r="S87" s="74"/>
      <c r="T87" s="75"/>
      <c r="U87" s="75"/>
      <c r="V87" s="59">
        <v>23.01</v>
      </c>
      <c r="W87" s="59">
        <v>23.72</v>
      </c>
    </row>
    <row r="88" spans="1:23" x14ac:dyDescent="0.2">
      <c r="A88" s="60">
        <v>4021</v>
      </c>
      <c r="B88" s="175">
        <v>412</v>
      </c>
      <c r="C88" s="61"/>
      <c r="D88" s="62"/>
      <c r="E88" s="182"/>
      <c r="F88" s="183"/>
      <c r="G88" s="42"/>
      <c r="H88" s="162" t="s">
        <v>800</v>
      </c>
      <c r="I88" s="146" t="s">
        <v>666</v>
      </c>
      <c r="J88" s="787"/>
      <c r="K88" s="701"/>
      <c r="L88" s="793"/>
      <c r="M88" s="180">
        <v>11400</v>
      </c>
      <c r="N88" s="164">
        <v>220153.5</v>
      </c>
      <c r="O88" s="165">
        <v>170127</v>
      </c>
      <c r="P88" s="181"/>
      <c r="Q88" s="37"/>
      <c r="R88" s="74"/>
      <c r="S88" s="74"/>
      <c r="T88" s="75"/>
      <c r="U88" s="75"/>
      <c r="V88" s="59">
        <v>164244</v>
      </c>
      <c r="W88" s="59">
        <v>169551</v>
      </c>
    </row>
    <row r="89" spans="1:23" x14ac:dyDescent="0.2">
      <c r="A89" s="60">
        <v>4022</v>
      </c>
      <c r="B89" s="175">
        <v>412</v>
      </c>
      <c r="C89" s="61"/>
      <c r="D89" s="62"/>
      <c r="E89" s="151"/>
      <c r="F89" s="152"/>
      <c r="G89" s="42"/>
      <c r="H89" s="162" t="s">
        <v>800</v>
      </c>
      <c r="I89" s="146" t="s">
        <v>169</v>
      </c>
      <c r="J89" s="782"/>
      <c r="K89" s="701"/>
      <c r="L89" s="793"/>
      <c r="M89" s="180">
        <v>6.85</v>
      </c>
      <c r="N89" s="164">
        <v>31.59</v>
      </c>
      <c r="O89" s="165">
        <v>24.41</v>
      </c>
      <c r="P89" s="181"/>
      <c r="Q89" s="37"/>
      <c r="R89" s="74"/>
      <c r="S89" s="74"/>
      <c r="T89" s="75"/>
      <c r="U89" s="75"/>
      <c r="V89" s="59">
        <v>23.56</v>
      </c>
      <c r="W89" s="59">
        <v>24.33</v>
      </c>
    </row>
    <row r="90" spans="1:23" x14ac:dyDescent="0.2">
      <c r="A90" s="60"/>
      <c r="B90" s="60"/>
      <c r="C90" s="61"/>
      <c r="D90" s="62" t="s">
        <v>542</v>
      </c>
      <c r="E90" s="151"/>
      <c r="F90" s="184"/>
      <c r="G90" s="42" t="s">
        <v>801</v>
      </c>
      <c r="H90" s="702"/>
      <c r="I90" s="712"/>
      <c r="J90" s="72"/>
      <c r="K90" s="701" t="s">
        <v>704</v>
      </c>
      <c r="L90" s="150" t="s">
        <v>791</v>
      </c>
      <c r="M90" s="150"/>
      <c r="N90" s="100"/>
      <c r="O90" s="169"/>
      <c r="P90" s="101"/>
      <c r="Q90" s="37"/>
      <c r="R90" s="74"/>
      <c r="S90" s="74"/>
      <c r="T90" s="75"/>
      <c r="U90" s="75"/>
      <c r="V90" s="59"/>
      <c r="W90" s="59"/>
    </row>
    <row r="91" spans="1:23" x14ac:dyDescent="0.2">
      <c r="A91" s="60">
        <v>4031</v>
      </c>
      <c r="B91" s="175">
        <v>401402</v>
      </c>
      <c r="C91" s="61"/>
      <c r="D91" s="62"/>
      <c r="E91" s="151"/>
      <c r="F91" s="152"/>
      <c r="G91" s="42"/>
      <c r="H91" s="162" t="s">
        <v>795</v>
      </c>
      <c r="I91" s="146" t="s">
        <v>666</v>
      </c>
      <c r="J91" s="805" t="s">
        <v>796</v>
      </c>
      <c r="K91" s="75"/>
      <c r="L91" s="793" t="s">
        <v>797</v>
      </c>
      <c r="M91" s="123">
        <v>8895</v>
      </c>
      <c r="N91" s="164">
        <v>34550</v>
      </c>
      <c r="O91" s="165">
        <v>70470</v>
      </c>
      <c r="P91" s="181"/>
      <c r="Q91" s="37"/>
      <c r="R91" s="74"/>
      <c r="S91" s="74"/>
      <c r="T91" s="75"/>
      <c r="U91" s="75"/>
      <c r="V91" s="59">
        <v>68191.199999999997</v>
      </c>
      <c r="W91" s="59">
        <v>70437.100000000006</v>
      </c>
    </row>
    <row r="92" spans="1:23" x14ac:dyDescent="0.2">
      <c r="A92" s="60">
        <v>4032</v>
      </c>
      <c r="B92" s="175">
        <v>401402</v>
      </c>
      <c r="C92" s="61"/>
      <c r="D92" s="62"/>
      <c r="E92" s="182"/>
      <c r="F92" s="183"/>
      <c r="G92" s="42"/>
      <c r="H92" s="162" t="s">
        <v>795</v>
      </c>
      <c r="I92" s="146" t="s">
        <v>169</v>
      </c>
      <c r="J92" s="806"/>
      <c r="K92" s="701"/>
      <c r="L92" s="793"/>
      <c r="M92" s="123">
        <v>13.9</v>
      </c>
      <c r="N92" s="164">
        <v>39.42</v>
      </c>
      <c r="O92" s="165">
        <v>34.479999999999997</v>
      </c>
      <c r="P92" s="181"/>
      <c r="Q92" s="37"/>
      <c r="R92" s="74"/>
      <c r="S92" s="74"/>
      <c r="T92" s="75"/>
      <c r="U92" s="75"/>
      <c r="V92" s="59">
        <v>33.36</v>
      </c>
      <c r="W92" s="59">
        <v>34.46</v>
      </c>
    </row>
    <row r="93" spans="1:23" x14ac:dyDescent="0.2">
      <c r="A93" s="60">
        <v>4041</v>
      </c>
      <c r="B93" s="60">
        <v>403</v>
      </c>
      <c r="C93" s="61"/>
      <c r="D93" s="62"/>
      <c r="E93" s="185"/>
      <c r="F93" s="186"/>
      <c r="G93" s="42"/>
      <c r="H93" s="178" t="s">
        <v>798</v>
      </c>
      <c r="I93" s="179" t="s">
        <v>666</v>
      </c>
      <c r="J93" s="806"/>
      <c r="K93" s="701"/>
      <c r="L93" s="793"/>
      <c r="M93" s="150"/>
      <c r="N93" s="164">
        <v>104661</v>
      </c>
      <c r="O93" s="165">
        <v>114899</v>
      </c>
      <c r="P93" s="181"/>
      <c r="Q93" s="37"/>
      <c r="R93" s="74"/>
      <c r="S93" s="74"/>
      <c r="T93" s="75"/>
      <c r="U93" s="75"/>
      <c r="V93" s="59">
        <v>111260.4</v>
      </c>
      <c r="W93" s="59">
        <v>114590.5</v>
      </c>
    </row>
    <row r="94" spans="1:23" x14ac:dyDescent="0.2">
      <c r="A94" s="60">
        <v>4042</v>
      </c>
      <c r="B94" s="60">
        <v>403</v>
      </c>
      <c r="C94" s="61"/>
      <c r="D94" s="62"/>
      <c r="E94" s="185"/>
      <c r="F94" s="186"/>
      <c r="G94" s="42"/>
      <c r="H94" s="178" t="s">
        <v>798</v>
      </c>
      <c r="I94" s="179" t="s">
        <v>169</v>
      </c>
      <c r="J94" s="806"/>
      <c r="K94" s="701"/>
      <c r="L94" s="793"/>
      <c r="M94" s="150"/>
      <c r="N94" s="164">
        <v>25.6</v>
      </c>
      <c r="O94" s="165">
        <v>28.11</v>
      </c>
      <c r="P94" s="181"/>
      <c r="Q94" s="37"/>
      <c r="R94" s="74"/>
      <c r="S94" s="74"/>
      <c r="T94" s="75"/>
      <c r="U94" s="75"/>
      <c r="V94" s="59">
        <v>27.22</v>
      </c>
      <c r="W94" s="59">
        <v>28.03</v>
      </c>
    </row>
    <row r="95" spans="1:23" x14ac:dyDescent="0.2">
      <c r="A95" s="60">
        <v>4051</v>
      </c>
      <c r="B95" s="60">
        <v>403</v>
      </c>
      <c r="C95" s="61"/>
      <c r="D95" s="62"/>
      <c r="E95" s="182"/>
      <c r="F95" s="183"/>
      <c r="G95" s="42"/>
      <c r="H95" s="162" t="s">
        <v>799</v>
      </c>
      <c r="I95" s="146" t="s">
        <v>666</v>
      </c>
      <c r="J95" s="806"/>
      <c r="K95" s="701"/>
      <c r="L95" s="793"/>
      <c r="M95" s="123">
        <v>19700</v>
      </c>
      <c r="N95" s="164">
        <v>174479</v>
      </c>
      <c r="O95" s="165">
        <v>186193</v>
      </c>
      <c r="P95" s="181"/>
      <c r="Q95" s="37"/>
      <c r="R95" s="74"/>
      <c r="S95" s="74"/>
      <c r="T95" s="75"/>
      <c r="U95" s="75"/>
      <c r="V95" s="59">
        <v>179577.60000000001</v>
      </c>
      <c r="W95" s="59">
        <v>184901</v>
      </c>
    </row>
    <row r="96" spans="1:23" x14ac:dyDescent="0.2">
      <c r="A96" s="60">
        <v>4052</v>
      </c>
      <c r="B96" s="60">
        <v>403</v>
      </c>
      <c r="C96" s="61"/>
      <c r="D96" s="62"/>
      <c r="E96" s="182"/>
      <c r="F96" s="183"/>
      <c r="G96" s="42"/>
      <c r="H96" s="162" t="s">
        <v>799</v>
      </c>
      <c r="I96" s="146" t="s">
        <v>169</v>
      </c>
      <c r="J96" s="806"/>
      <c r="K96" s="701"/>
      <c r="L96" s="793"/>
      <c r="M96" s="123">
        <v>8.5</v>
      </c>
      <c r="N96" s="164">
        <v>29.08</v>
      </c>
      <c r="O96" s="165">
        <v>31.03</v>
      </c>
      <c r="P96" s="181"/>
      <c r="Q96" s="37"/>
      <c r="R96" s="74"/>
      <c r="S96" s="74"/>
      <c r="T96" s="75"/>
      <c r="U96" s="75"/>
      <c r="V96" s="59">
        <v>29.93</v>
      </c>
      <c r="W96" s="59">
        <v>30.82</v>
      </c>
    </row>
    <row r="97" spans="1:23" x14ac:dyDescent="0.2">
      <c r="A97" s="60">
        <v>4061</v>
      </c>
      <c r="B97" s="60">
        <v>404</v>
      </c>
      <c r="C97" s="61"/>
      <c r="D97" s="62"/>
      <c r="E97" s="182"/>
      <c r="F97" s="183"/>
      <c r="G97" s="42"/>
      <c r="H97" s="162" t="s">
        <v>800</v>
      </c>
      <c r="I97" s="146" t="s">
        <v>666</v>
      </c>
      <c r="J97" s="806"/>
      <c r="K97" s="701"/>
      <c r="L97" s="793"/>
      <c r="M97" s="123">
        <v>19700</v>
      </c>
      <c r="N97" s="164">
        <v>193532</v>
      </c>
      <c r="O97" s="165">
        <v>377197</v>
      </c>
      <c r="P97" s="181"/>
      <c r="Q97" s="37"/>
      <c r="R97" s="74"/>
      <c r="S97" s="74"/>
      <c r="T97" s="75"/>
      <c r="U97" s="75"/>
      <c r="V97" s="59">
        <v>365676</v>
      </c>
      <c r="W97" s="59">
        <v>378030</v>
      </c>
    </row>
    <row r="98" spans="1:23" x14ac:dyDescent="0.2">
      <c r="A98" s="60">
        <v>4062</v>
      </c>
      <c r="B98" s="60">
        <v>404</v>
      </c>
      <c r="C98" s="61"/>
      <c r="D98" s="62"/>
      <c r="E98" s="182"/>
      <c r="F98" s="183"/>
      <c r="G98" s="42"/>
      <c r="H98" s="162" t="s">
        <v>800</v>
      </c>
      <c r="I98" s="146" t="s">
        <v>169</v>
      </c>
      <c r="J98" s="807"/>
      <c r="K98" s="701"/>
      <c r="L98" s="793"/>
      <c r="M98" s="123">
        <v>8.5</v>
      </c>
      <c r="N98" s="164">
        <v>27.14</v>
      </c>
      <c r="O98" s="165">
        <v>27.94</v>
      </c>
      <c r="P98" s="181"/>
      <c r="Q98" s="37"/>
      <c r="R98" s="74"/>
      <c r="S98" s="74"/>
      <c r="T98" s="75"/>
      <c r="U98" s="75"/>
      <c r="V98" s="59">
        <v>27.09</v>
      </c>
      <c r="W98" s="59">
        <v>28</v>
      </c>
    </row>
    <row r="99" spans="1:23" x14ac:dyDescent="0.2">
      <c r="A99" s="60"/>
      <c r="B99" s="60"/>
      <c r="C99" s="61"/>
      <c r="D99" s="62" t="s">
        <v>542</v>
      </c>
      <c r="E99" s="182"/>
      <c r="F99" s="149"/>
      <c r="G99" s="42" t="s">
        <v>802</v>
      </c>
      <c r="H99" s="162"/>
      <c r="I99" s="146"/>
      <c r="J99" s="187"/>
      <c r="K99" s="167"/>
      <c r="L99" s="188"/>
      <c r="M99" s="188"/>
      <c r="N99" s="164"/>
      <c r="O99" s="165"/>
      <c r="P99" s="181"/>
      <c r="Q99" s="37"/>
      <c r="R99" s="52" t="s">
        <v>803</v>
      </c>
      <c r="S99" s="52" t="s">
        <v>804</v>
      </c>
      <c r="T99" s="37"/>
      <c r="U99" s="75"/>
      <c r="V99" s="59"/>
      <c r="W99" s="59"/>
    </row>
    <row r="100" spans="1:23" x14ac:dyDescent="0.2">
      <c r="A100" s="60">
        <v>4071</v>
      </c>
      <c r="B100" s="175">
        <v>405406</v>
      </c>
      <c r="C100" s="61"/>
      <c r="D100" s="62"/>
      <c r="E100" s="182"/>
      <c r="F100" s="183"/>
      <c r="G100" s="42"/>
      <c r="H100" s="162" t="s">
        <v>805</v>
      </c>
      <c r="I100" s="146" t="s">
        <v>666</v>
      </c>
      <c r="J100" s="187"/>
      <c r="K100" s="167"/>
      <c r="L100" s="188"/>
      <c r="M100" s="123">
        <v>500</v>
      </c>
      <c r="N100" s="100">
        <v>8162.8</v>
      </c>
      <c r="O100" s="169">
        <v>7331</v>
      </c>
      <c r="P100" s="101"/>
      <c r="Q100" s="37"/>
      <c r="R100" s="74"/>
      <c r="S100" s="74"/>
      <c r="T100" s="75"/>
      <c r="U100" s="75"/>
      <c r="V100" s="59">
        <v>7684</v>
      </c>
      <c r="W100" s="59">
        <v>7881.83</v>
      </c>
    </row>
    <row r="101" spans="1:23" x14ac:dyDescent="0.2">
      <c r="A101" s="60">
        <v>4072</v>
      </c>
      <c r="B101" s="175">
        <v>405406</v>
      </c>
      <c r="C101" s="61"/>
      <c r="D101" s="62"/>
      <c r="E101" s="182"/>
      <c r="F101" s="183"/>
      <c r="G101" s="42"/>
      <c r="H101" s="162" t="s">
        <v>795</v>
      </c>
      <c r="I101" s="146" t="s">
        <v>169</v>
      </c>
      <c r="J101" s="187"/>
      <c r="K101" s="167"/>
      <c r="L101" s="188"/>
      <c r="M101" s="123">
        <v>4.75</v>
      </c>
      <c r="N101" s="100">
        <v>4.53</v>
      </c>
      <c r="O101" s="169">
        <v>4.07</v>
      </c>
      <c r="P101" s="101"/>
      <c r="Q101" s="37"/>
      <c r="R101" s="74"/>
      <c r="S101" s="74"/>
      <c r="T101" s="75"/>
      <c r="U101" s="75"/>
      <c r="V101" s="59">
        <v>4.2699999999999996</v>
      </c>
      <c r="W101" s="59">
        <v>4.38</v>
      </c>
    </row>
    <row r="102" spans="1:23" x14ac:dyDescent="0.2">
      <c r="A102" s="60">
        <v>4081</v>
      </c>
      <c r="B102" s="60">
        <v>407</v>
      </c>
      <c r="C102" s="61"/>
      <c r="D102" s="62"/>
      <c r="E102" s="185"/>
      <c r="F102" s="186"/>
      <c r="G102" s="42"/>
      <c r="H102" s="178" t="s">
        <v>806</v>
      </c>
      <c r="I102" s="179" t="s">
        <v>666</v>
      </c>
      <c r="J102" s="187"/>
      <c r="K102" s="167"/>
      <c r="L102" s="188"/>
      <c r="M102" s="123"/>
      <c r="N102" s="100">
        <v>8443.4</v>
      </c>
      <c r="O102" s="169">
        <v>6848.73</v>
      </c>
      <c r="P102" s="101"/>
      <c r="Q102" s="37"/>
      <c r="R102" s="74"/>
      <c r="S102" s="74"/>
      <c r="T102" s="75"/>
      <c r="U102" s="75"/>
      <c r="V102" s="59">
        <v>7252</v>
      </c>
      <c r="W102" s="59">
        <v>7469.45</v>
      </c>
    </row>
    <row r="103" spans="1:23" x14ac:dyDescent="0.2">
      <c r="A103" s="60">
        <v>4082</v>
      </c>
      <c r="B103" s="60">
        <v>407</v>
      </c>
      <c r="C103" s="61"/>
      <c r="D103" s="62"/>
      <c r="E103" s="185"/>
      <c r="F103" s="186"/>
      <c r="G103" s="42"/>
      <c r="H103" s="178" t="s">
        <v>798</v>
      </c>
      <c r="I103" s="179" t="s">
        <v>169</v>
      </c>
      <c r="J103" s="187"/>
      <c r="K103" s="167"/>
      <c r="L103" s="188"/>
      <c r="M103" s="123"/>
      <c r="N103" s="100">
        <v>2.81</v>
      </c>
      <c r="O103" s="169">
        <v>2.2799999999999998</v>
      </c>
      <c r="P103" s="101"/>
      <c r="Q103" s="37"/>
      <c r="R103" s="74"/>
      <c r="S103" s="74"/>
      <c r="T103" s="75"/>
      <c r="U103" s="75"/>
      <c r="V103" s="59">
        <v>242</v>
      </c>
      <c r="W103" s="59">
        <v>2.4900000000000002</v>
      </c>
    </row>
    <row r="104" spans="1:23" x14ac:dyDescent="0.2">
      <c r="A104" s="60">
        <v>4091</v>
      </c>
      <c r="B104" s="60">
        <v>407</v>
      </c>
      <c r="C104" s="61"/>
      <c r="D104" s="62"/>
      <c r="E104" s="182"/>
      <c r="F104" s="183"/>
      <c r="G104" s="42"/>
      <c r="H104" s="162" t="s">
        <v>807</v>
      </c>
      <c r="I104" s="146" t="s">
        <v>666</v>
      </c>
      <c r="J104" s="187"/>
      <c r="K104" s="167"/>
      <c r="L104" s="188"/>
      <c r="M104" s="123">
        <v>6000</v>
      </c>
      <c r="N104" s="100">
        <v>11236</v>
      </c>
      <c r="O104" s="169">
        <v>9807.7999999999993</v>
      </c>
      <c r="P104" s="101"/>
      <c r="Q104" s="37"/>
      <c r="R104" s="74"/>
      <c r="S104" s="74"/>
      <c r="T104" s="75"/>
      <c r="U104" s="75"/>
      <c r="V104" s="59">
        <v>10156.6</v>
      </c>
      <c r="W104" s="59">
        <v>10452.799999999999</v>
      </c>
    </row>
    <row r="105" spans="1:23" x14ac:dyDescent="0.2">
      <c r="A105" s="60">
        <v>4092</v>
      </c>
      <c r="B105" s="60">
        <v>407</v>
      </c>
      <c r="C105" s="61"/>
      <c r="D105" s="62"/>
      <c r="E105" s="182"/>
      <c r="F105" s="183"/>
      <c r="G105" s="42"/>
      <c r="H105" s="162" t="s">
        <v>799</v>
      </c>
      <c r="I105" s="146" t="s">
        <v>169</v>
      </c>
      <c r="J105" s="187"/>
      <c r="K105" s="167"/>
      <c r="L105" s="188"/>
      <c r="M105" s="123">
        <v>2</v>
      </c>
      <c r="N105" s="100">
        <v>2.74</v>
      </c>
      <c r="O105" s="169">
        <v>2.39</v>
      </c>
      <c r="P105" s="101"/>
      <c r="Q105" s="37"/>
      <c r="R105" s="74"/>
      <c r="S105" s="74"/>
      <c r="T105" s="75"/>
      <c r="U105" s="75"/>
      <c r="V105" s="59">
        <v>2.48</v>
      </c>
      <c r="W105" s="59">
        <v>10.87</v>
      </c>
    </row>
    <row r="106" spans="1:23" x14ac:dyDescent="0.2">
      <c r="A106" s="125">
        <v>4101</v>
      </c>
      <c r="B106" s="125">
        <v>408</v>
      </c>
      <c r="C106" s="126"/>
      <c r="D106" s="127"/>
      <c r="E106" s="189"/>
      <c r="F106" s="190"/>
      <c r="G106" s="191"/>
      <c r="H106" s="192" t="s">
        <v>800</v>
      </c>
      <c r="I106" s="193" t="s">
        <v>666</v>
      </c>
      <c r="J106" s="194"/>
      <c r="K106" s="195"/>
      <c r="L106" s="141"/>
      <c r="M106" s="196"/>
      <c r="N106" s="135">
        <v>17345</v>
      </c>
      <c r="O106" s="135">
        <v>20814</v>
      </c>
      <c r="P106" s="136"/>
      <c r="Q106" s="37"/>
      <c r="R106" s="74"/>
      <c r="S106" s="74"/>
      <c r="T106" s="75"/>
      <c r="U106" s="75"/>
      <c r="V106" s="59">
        <v>21854.7</v>
      </c>
      <c r="W106" s="59">
        <v>22479.120000000003</v>
      </c>
    </row>
    <row r="107" spans="1:23" x14ac:dyDescent="0.2">
      <c r="A107" s="125">
        <v>4102</v>
      </c>
      <c r="B107" s="125">
        <v>408</v>
      </c>
      <c r="C107" s="126"/>
      <c r="D107" s="127"/>
      <c r="E107" s="189"/>
      <c r="F107" s="190"/>
      <c r="G107" s="191"/>
      <c r="H107" s="192" t="s">
        <v>800</v>
      </c>
      <c r="I107" s="193" t="s">
        <v>169</v>
      </c>
      <c r="J107" s="194"/>
      <c r="K107" s="195"/>
      <c r="L107" s="141"/>
      <c r="M107" s="196"/>
      <c r="N107" s="135">
        <v>2.67</v>
      </c>
      <c r="O107" s="135">
        <v>3.47</v>
      </c>
      <c r="P107" s="136"/>
      <c r="Q107" s="37"/>
      <c r="R107" s="74"/>
      <c r="S107" s="74"/>
      <c r="T107" s="75"/>
      <c r="U107" s="75"/>
      <c r="V107" s="59">
        <v>3.6435000000000004</v>
      </c>
      <c r="W107" s="59">
        <v>3.7476000000000003</v>
      </c>
    </row>
    <row r="108" spans="1:23" x14ac:dyDescent="0.2">
      <c r="A108" s="60"/>
      <c r="B108" s="60"/>
      <c r="C108" s="61"/>
      <c r="D108" s="62"/>
      <c r="E108" s="182"/>
      <c r="F108" s="149" t="s">
        <v>689</v>
      </c>
      <c r="G108" s="42" t="s">
        <v>808</v>
      </c>
      <c r="H108" s="162"/>
      <c r="I108" s="146"/>
      <c r="J108" s="187"/>
      <c r="K108" s="167"/>
      <c r="L108" s="188"/>
      <c r="M108" s="123"/>
      <c r="N108" s="100"/>
      <c r="O108" s="100"/>
      <c r="P108" s="101"/>
      <c r="Q108" s="37"/>
      <c r="R108" s="74"/>
      <c r="S108" s="74"/>
      <c r="T108" s="75"/>
      <c r="U108" s="75"/>
      <c r="V108" s="59"/>
      <c r="W108" s="59"/>
    </row>
    <row r="109" spans="1:23" x14ac:dyDescent="0.2">
      <c r="A109" s="60">
        <v>4111</v>
      </c>
      <c r="B109" s="60"/>
      <c r="C109" s="61">
        <v>7</v>
      </c>
      <c r="D109" s="62"/>
      <c r="E109" s="197"/>
      <c r="F109" s="198"/>
      <c r="G109" s="150"/>
      <c r="H109" s="162" t="s">
        <v>274</v>
      </c>
      <c r="I109" s="712" t="s">
        <v>809</v>
      </c>
      <c r="J109" s="199"/>
      <c r="K109" s="199"/>
      <c r="L109" s="200"/>
      <c r="M109" s="200"/>
      <c r="N109" s="201">
        <f>7700*(1+5%)^2</f>
        <v>8489.25</v>
      </c>
      <c r="O109" s="202">
        <v>10187.1</v>
      </c>
      <c r="P109" s="203"/>
      <c r="Q109" s="37"/>
      <c r="R109" s="74"/>
      <c r="S109" s="74"/>
      <c r="T109" s="75"/>
      <c r="U109" s="75"/>
      <c r="V109" s="59">
        <v>10696.455</v>
      </c>
      <c r="W109" s="59">
        <v>11002.068000000001</v>
      </c>
    </row>
    <row r="110" spans="1:23" ht="25.5" x14ac:dyDescent="0.2">
      <c r="A110" s="60">
        <v>4112</v>
      </c>
      <c r="B110" s="60"/>
      <c r="C110" s="61">
        <v>8</v>
      </c>
      <c r="D110" s="62"/>
      <c r="E110" s="157"/>
      <c r="F110" s="149"/>
      <c r="G110" s="78"/>
      <c r="H110" s="162" t="s">
        <v>278</v>
      </c>
      <c r="I110" s="711" t="s">
        <v>666</v>
      </c>
      <c r="J110" s="713"/>
      <c r="K110" s="713"/>
      <c r="L110" s="200"/>
      <c r="M110" s="200"/>
      <c r="N110" s="201">
        <f>3900*(1+5%)^2</f>
        <v>4299.75</v>
      </c>
      <c r="O110" s="202">
        <v>5159.7</v>
      </c>
      <c r="P110" s="203"/>
      <c r="Q110" s="37"/>
      <c r="R110" s="52"/>
      <c r="S110" s="52"/>
      <c r="T110" s="37"/>
      <c r="U110" s="37"/>
      <c r="V110" s="59">
        <v>5417.6850000000004</v>
      </c>
      <c r="W110" s="59">
        <v>5572.4760000000006</v>
      </c>
    </row>
    <row r="111" spans="1:23" ht="25.5" x14ac:dyDescent="0.2">
      <c r="A111" s="60">
        <v>4121</v>
      </c>
      <c r="B111" s="60"/>
      <c r="C111" s="61">
        <v>9</v>
      </c>
      <c r="D111" s="62"/>
      <c r="E111" s="157"/>
      <c r="F111" s="149"/>
      <c r="G111" s="150"/>
      <c r="H111" s="706" t="s">
        <v>810</v>
      </c>
      <c r="I111" s="711" t="s">
        <v>180</v>
      </c>
      <c r="J111" s="713"/>
      <c r="K111" s="713"/>
      <c r="L111" s="200"/>
      <c r="M111" s="200"/>
      <c r="N111" s="201">
        <f>3900*(1+5%)^2</f>
        <v>4299.75</v>
      </c>
      <c r="O111" s="202">
        <v>5159.7</v>
      </c>
      <c r="P111" s="203"/>
      <c r="Q111" s="37"/>
      <c r="R111" s="74"/>
      <c r="S111" s="74"/>
      <c r="T111" s="75"/>
      <c r="U111" s="75"/>
      <c r="V111" s="59">
        <v>5417.6850000000004</v>
      </c>
      <c r="W111" s="59">
        <v>5572.4760000000006</v>
      </c>
    </row>
    <row r="112" spans="1:23" x14ac:dyDescent="0.2">
      <c r="A112" s="60"/>
      <c r="B112" s="60"/>
      <c r="C112" s="61"/>
      <c r="D112" s="62"/>
      <c r="E112" s="149" t="s">
        <v>689</v>
      </c>
      <c r="F112" s="149" t="s">
        <v>689</v>
      </c>
      <c r="G112" s="808" t="s">
        <v>811</v>
      </c>
      <c r="H112" s="808"/>
      <c r="I112" s="711"/>
      <c r="J112" s="713"/>
      <c r="K112" s="713"/>
      <c r="L112" s="713"/>
      <c r="M112" s="713"/>
      <c r="N112" s="100"/>
      <c r="O112" s="100"/>
      <c r="P112" s="101"/>
      <c r="Q112" s="37"/>
      <c r="R112" s="52"/>
      <c r="S112" s="52"/>
      <c r="T112" s="37"/>
      <c r="U112" s="37"/>
      <c r="V112" s="59"/>
      <c r="W112" s="59"/>
    </row>
    <row r="113" spans="1:23" x14ac:dyDescent="0.2">
      <c r="A113" s="60">
        <v>4122</v>
      </c>
      <c r="B113" s="60"/>
      <c r="C113" s="61">
        <v>10</v>
      </c>
      <c r="D113" s="62"/>
      <c r="E113" s="151"/>
      <c r="F113" s="152"/>
      <c r="G113" s="42"/>
      <c r="H113" s="702" t="s">
        <v>284</v>
      </c>
      <c r="I113" s="711" t="s">
        <v>666</v>
      </c>
      <c r="J113" s="713"/>
      <c r="K113" s="713"/>
      <c r="L113" s="713"/>
      <c r="M113" s="713"/>
      <c r="N113" s="100">
        <v>151</v>
      </c>
      <c r="O113" s="169">
        <v>176</v>
      </c>
      <c r="P113" s="101"/>
      <c r="Q113" s="37"/>
      <c r="R113" s="52"/>
      <c r="S113" s="52"/>
      <c r="T113" s="37"/>
      <c r="U113" s="37"/>
      <c r="V113" s="59">
        <v>201.73</v>
      </c>
      <c r="W113" s="59">
        <v>229.04</v>
      </c>
    </row>
    <row r="114" spans="1:23" x14ac:dyDescent="0.2">
      <c r="A114" s="60">
        <v>4130</v>
      </c>
      <c r="B114" s="60"/>
      <c r="C114" s="61">
        <v>11</v>
      </c>
      <c r="D114" s="62"/>
      <c r="E114" s="157"/>
      <c r="F114" s="161"/>
      <c r="G114" s="42"/>
      <c r="H114" s="702" t="s">
        <v>287</v>
      </c>
      <c r="I114" s="711" t="s">
        <v>666</v>
      </c>
      <c r="J114" s="204"/>
      <c r="K114" s="713"/>
      <c r="L114" s="713"/>
      <c r="M114" s="713"/>
      <c r="N114" s="100">
        <v>151</v>
      </c>
      <c r="O114" s="169">
        <v>176</v>
      </c>
      <c r="P114" s="101"/>
      <c r="Q114" s="37"/>
      <c r="R114" s="52"/>
      <c r="S114" s="52"/>
      <c r="T114" s="37"/>
      <c r="U114" s="37"/>
      <c r="V114" s="59">
        <v>201.73</v>
      </c>
      <c r="W114" s="59">
        <v>229.04</v>
      </c>
    </row>
    <row r="115" spans="1:23" x14ac:dyDescent="0.2">
      <c r="A115" s="60">
        <v>4140</v>
      </c>
      <c r="B115" s="60"/>
      <c r="C115" s="61">
        <v>12</v>
      </c>
      <c r="D115" s="62"/>
      <c r="E115" s="151"/>
      <c r="F115" s="152"/>
      <c r="G115" s="42"/>
      <c r="H115" s="702" t="s">
        <v>290</v>
      </c>
      <c r="I115" s="711" t="s">
        <v>666</v>
      </c>
      <c r="J115" s="204"/>
      <c r="K115" s="713"/>
      <c r="L115" s="713"/>
      <c r="M115" s="713"/>
      <c r="N115" s="100">
        <v>142</v>
      </c>
      <c r="O115" s="169">
        <v>121.7</v>
      </c>
      <c r="P115" s="101"/>
      <c r="Q115" s="37"/>
      <c r="R115" s="52"/>
      <c r="S115" s="52"/>
      <c r="T115" s="37"/>
      <c r="U115" s="37"/>
      <c r="V115" s="59">
        <v>126.23</v>
      </c>
      <c r="W115" s="59">
        <v>144.04</v>
      </c>
    </row>
    <row r="116" spans="1:23" x14ac:dyDescent="0.2">
      <c r="A116" s="60">
        <v>4150</v>
      </c>
      <c r="B116" s="60"/>
      <c r="C116" s="61">
        <v>13</v>
      </c>
      <c r="D116" s="62"/>
      <c r="E116" s="157"/>
      <c r="F116" s="161"/>
      <c r="G116" s="42"/>
      <c r="H116" s="701" t="s">
        <v>292</v>
      </c>
      <c r="I116" s="711" t="s">
        <v>702</v>
      </c>
      <c r="J116" s="204"/>
      <c r="K116" s="713"/>
      <c r="L116" s="793" t="s">
        <v>812</v>
      </c>
      <c r="M116" s="703"/>
      <c r="N116" s="100">
        <v>860</v>
      </c>
      <c r="O116" s="169">
        <v>737</v>
      </c>
      <c r="P116" s="101"/>
      <c r="Q116" s="37"/>
      <c r="R116" s="52"/>
      <c r="S116" s="52"/>
      <c r="T116" s="37"/>
      <c r="U116" s="37"/>
      <c r="V116" s="59">
        <v>736.62</v>
      </c>
      <c r="W116" s="59">
        <v>744.08</v>
      </c>
    </row>
    <row r="117" spans="1:23" x14ac:dyDescent="0.2">
      <c r="A117" s="60">
        <v>4161</v>
      </c>
      <c r="B117" s="60"/>
      <c r="C117" s="61">
        <v>14</v>
      </c>
      <c r="D117" s="62"/>
      <c r="E117" s="157"/>
      <c r="F117" s="161"/>
      <c r="G117" s="42"/>
      <c r="H117" s="701" t="s">
        <v>294</v>
      </c>
      <c r="I117" s="711" t="s">
        <v>702</v>
      </c>
      <c r="J117" s="204"/>
      <c r="K117" s="713"/>
      <c r="L117" s="793"/>
      <c r="M117" s="703"/>
      <c r="N117" s="100">
        <v>1794</v>
      </c>
      <c r="O117" s="169">
        <v>1492.31</v>
      </c>
      <c r="P117" s="101"/>
      <c r="Q117" s="37"/>
      <c r="R117" s="52"/>
      <c r="S117" s="52"/>
      <c r="T117" s="37"/>
      <c r="U117" s="37"/>
      <c r="V117" s="59">
        <v>1470.35</v>
      </c>
      <c r="W117" s="59">
        <v>1481.12</v>
      </c>
    </row>
    <row r="118" spans="1:23" x14ac:dyDescent="0.2">
      <c r="A118" s="60">
        <v>4162</v>
      </c>
      <c r="B118" s="60"/>
      <c r="C118" s="61">
        <v>15</v>
      </c>
      <c r="D118" s="62"/>
      <c r="E118" s="157"/>
      <c r="F118" s="161"/>
      <c r="G118" s="42"/>
      <c r="H118" s="701" t="s">
        <v>296</v>
      </c>
      <c r="I118" s="711" t="s">
        <v>702</v>
      </c>
      <c r="J118" s="204"/>
      <c r="K118" s="713"/>
      <c r="L118" s="793"/>
      <c r="M118" s="703"/>
      <c r="N118" s="100">
        <v>860</v>
      </c>
      <c r="O118" s="169">
        <v>737</v>
      </c>
      <c r="P118" s="101"/>
      <c r="Q118" s="37"/>
      <c r="R118" s="52"/>
      <c r="S118" s="52"/>
      <c r="T118" s="37"/>
      <c r="U118" s="37"/>
      <c r="V118" s="59">
        <v>736.62</v>
      </c>
      <c r="W118" s="59">
        <v>744.08</v>
      </c>
    </row>
    <row r="119" spans="1:23" x14ac:dyDescent="0.2">
      <c r="A119" s="60">
        <v>4171</v>
      </c>
      <c r="B119" s="60">
        <v>413</v>
      </c>
      <c r="C119" s="61"/>
      <c r="D119" s="62"/>
      <c r="E119" s="157"/>
      <c r="F119" s="161"/>
      <c r="G119" s="42"/>
      <c r="H119" s="701" t="s">
        <v>298</v>
      </c>
      <c r="I119" s="712" t="s">
        <v>666</v>
      </c>
      <c r="J119" s="167"/>
      <c r="K119" s="167"/>
      <c r="L119" s="205"/>
      <c r="M119" s="123">
        <v>45.99</v>
      </c>
      <c r="N119" s="100">
        <f>124*(1+5%)^2</f>
        <v>136.71</v>
      </c>
      <c r="O119" s="169">
        <v>146.05000000000001</v>
      </c>
      <c r="P119" s="101"/>
      <c r="Q119" s="37"/>
      <c r="R119" s="52"/>
      <c r="S119" s="52"/>
      <c r="T119" s="206"/>
      <c r="U119" s="206"/>
      <c r="V119" s="59">
        <v>170.02</v>
      </c>
      <c r="W119" s="59">
        <v>187.2</v>
      </c>
    </row>
    <row r="120" spans="1:23" x14ac:dyDescent="0.2">
      <c r="A120" s="60">
        <v>4172</v>
      </c>
      <c r="B120" s="60">
        <v>413</v>
      </c>
      <c r="C120" s="61"/>
      <c r="D120" s="62"/>
      <c r="E120" s="157"/>
      <c r="F120" s="161"/>
      <c r="G120" s="42"/>
      <c r="H120" s="702" t="s">
        <v>300</v>
      </c>
      <c r="I120" s="711" t="s">
        <v>702</v>
      </c>
      <c r="J120" s="167"/>
      <c r="K120" s="713"/>
      <c r="L120" s="38"/>
      <c r="M120" s="123">
        <v>30.66</v>
      </c>
      <c r="N120" s="76">
        <v>186</v>
      </c>
      <c r="O120" s="154">
        <v>209</v>
      </c>
      <c r="P120" s="67"/>
      <c r="Q120" s="37"/>
      <c r="R120" s="52"/>
      <c r="S120" s="52"/>
      <c r="T120" s="37"/>
      <c r="U120" s="37"/>
      <c r="V120" s="59">
        <v>284.73</v>
      </c>
      <c r="W120" s="59">
        <v>288.04000000000002</v>
      </c>
    </row>
    <row r="121" spans="1:23" x14ac:dyDescent="0.2">
      <c r="A121" s="60">
        <v>4180</v>
      </c>
      <c r="B121" s="60">
        <v>413</v>
      </c>
      <c r="C121" s="61"/>
      <c r="D121" s="62"/>
      <c r="E121" s="157"/>
      <c r="F121" s="149"/>
      <c r="G121" s="42" t="s">
        <v>303</v>
      </c>
      <c r="H121" s="701"/>
      <c r="I121" s="146" t="s">
        <v>702</v>
      </c>
      <c r="J121" s="167"/>
      <c r="K121" s="713"/>
      <c r="L121" s="713"/>
      <c r="M121" s="123">
        <v>306.60000000000002</v>
      </c>
      <c r="N121" s="159">
        <v>397</v>
      </c>
      <c r="O121" s="160">
        <v>425</v>
      </c>
      <c r="P121" s="177"/>
      <c r="Q121" s="37"/>
      <c r="R121" s="52"/>
      <c r="S121" s="52"/>
      <c r="T121" s="37"/>
      <c r="U121" s="37"/>
      <c r="V121" s="59">
        <v>503.91</v>
      </c>
      <c r="W121" s="59">
        <v>530.59</v>
      </c>
    </row>
    <row r="122" spans="1:23" x14ac:dyDescent="0.2">
      <c r="A122" s="60">
        <v>5011</v>
      </c>
      <c r="B122" s="60"/>
      <c r="C122" s="61">
        <v>16</v>
      </c>
      <c r="D122" s="62"/>
      <c r="E122" s="149" t="s">
        <v>689</v>
      </c>
      <c r="F122" s="149" t="s">
        <v>689</v>
      </c>
      <c r="G122" s="42" t="s">
        <v>306</v>
      </c>
      <c r="H122" s="701"/>
      <c r="I122" s="146" t="s">
        <v>702</v>
      </c>
      <c r="J122" s="713"/>
      <c r="K122" s="713"/>
      <c r="L122" s="207"/>
      <c r="M122" s="207"/>
      <c r="N122" s="159">
        <v>42</v>
      </c>
      <c r="O122" s="160">
        <v>51</v>
      </c>
      <c r="P122" s="177"/>
      <c r="Q122" s="37"/>
      <c r="R122" s="52"/>
      <c r="S122" s="52"/>
      <c r="T122" s="37"/>
      <c r="U122" s="37"/>
      <c r="V122" s="59">
        <v>65</v>
      </c>
      <c r="W122" s="59">
        <v>68.2</v>
      </c>
    </row>
    <row r="123" spans="1:23" x14ac:dyDescent="0.2">
      <c r="A123" s="60"/>
      <c r="B123" s="60"/>
      <c r="C123" s="61"/>
      <c r="D123" s="62"/>
      <c r="E123" s="149" t="s">
        <v>689</v>
      </c>
      <c r="F123" s="149" t="s">
        <v>689</v>
      </c>
      <c r="G123" s="42" t="s">
        <v>813</v>
      </c>
      <c r="H123" s="701"/>
      <c r="I123" s="146"/>
      <c r="J123" s="713"/>
      <c r="K123" s="713"/>
      <c r="L123" s="207"/>
      <c r="M123" s="207"/>
      <c r="N123" s="159"/>
      <c r="O123" s="160"/>
      <c r="P123" s="177"/>
      <c r="Q123" s="37"/>
      <c r="R123" s="52"/>
      <c r="S123" s="52"/>
      <c r="T123" s="37"/>
      <c r="U123" s="37"/>
      <c r="V123" s="59"/>
      <c r="W123" s="59"/>
    </row>
    <row r="124" spans="1:23" x14ac:dyDescent="0.2">
      <c r="A124" s="60">
        <v>5012</v>
      </c>
      <c r="B124" s="60"/>
      <c r="C124" s="61">
        <v>17</v>
      </c>
      <c r="D124" s="62"/>
      <c r="E124" s="157"/>
      <c r="F124" s="161"/>
      <c r="G124" s="205"/>
      <c r="H124" s="162" t="s">
        <v>308</v>
      </c>
      <c r="I124" s="146" t="s">
        <v>814</v>
      </c>
      <c r="J124" s="793" t="s">
        <v>815</v>
      </c>
      <c r="K124" s="713"/>
      <c r="L124" s="713"/>
      <c r="M124" s="713"/>
      <c r="N124" s="159">
        <v>7210</v>
      </c>
      <c r="O124" s="159">
        <v>7557</v>
      </c>
      <c r="P124" s="177"/>
      <c r="Q124" s="37"/>
      <c r="R124" s="52" t="s">
        <v>816</v>
      </c>
      <c r="S124" s="52" t="s">
        <v>817</v>
      </c>
      <c r="T124" s="206"/>
      <c r="U124" s="206"/>
      <c r="V124" s="59">
        <v>7934.85</v>
      </c>
      <c r="W124" s="59">
        <v>8161.56</v>
      </c>
    </row>
    <row r="125" spans="1:23" x14ac:dyDescent="0.2">
      <c r="A125" s="60">
        <v>5020</v>
      </c>
      <c r="B125" s="60"/>
      <c r="C125" s="61">
        <v>18</v>
      </c>
      <c r="D125" s="62"/>
      <c r="E125" s="157"/>
      <c r="F125" s="161"/>
      <c r="G125" s="205"/>
      <c r="H125" s="162" t="s">
        <v>310</v>
      </c>
      <c r="I125" s="146" t="s">
        <v>666</v>
      </c>
      <c r="J125" s="793"/>
      <c r="K125" s="713"/>
      <c r="L125" s="713"/>
      <c r="M125" s="713"/>
      <c r="N125" s="159">
        <v>7210</v>
      </c>
      <c r="O125" s="159">
        <v>7557</v>
      </c>
      <c r="P125" s="177"/>
      <c r="Q125" s="37"/>
      <c r="R125" s="52"/>
      <c r="S125" s="52"/>
      <c r="T125" s="206"/>
      <c r="U125" s="206"/>
      <c r="V125" s="59">
        <v>7934.85</v>
      </c>
      <c r="W125" s="59">
        <v>8161.56</v>
      </c>
    </row>
    <row r="126" spans="1:23" x14ac:dyDescent="0.2">
      <c r="A126" s="60">
        <v>5031</v>
      </c>
      <c r="B126" s="60">
        <v>414</v>
      </c>
      <c r="C126" s="61"/>
      <c r="D126" s="62"/>
      <c r="E126" s="157"/>
      <c r="F126" s="161"/>
      <c r="G126" s="205"/>
      <c r="H126" s="162" t="s">
        <v>312</v>
      </c>
      <c r="I126" s="146" t="s">
        <v>814</v>
      </c>
      <c r="J126" s="208"/>
      <c r="K126" s="713"/>
      <c r="L126" s="713"/>
      <c r="M126" s="123">
        <v>2500</v>
      </c>
      <c r="N126" s="159">
        <v>1618</v>
      </c>
      <c r="O126" s="159">
        <v>1307.23</v>
      </c>
      <c r="P126" s="177"/>
      <c r="Q126" s="37"/>
      <c r="R126" s="52"/>
      <c r="S126" s="52"/>
      <c r="T126" s="206"/>
      <c r="U126" s="206"/>
      <c r="V126" s="59">
        <v>1372.5915</v>
      </c>
      <c r="W126" s="59">
        <v>1411.8084000000001</v>
      </c>
    </row>
    <row r="127" spans="1:23" x14ac:dyDescent="0.2">
      <c r="A127" s="60">
        <v>5032</v>
      </c>
      <c r="B127" s="60"/>
      <c r="C127" s="61">
        <v>19</v>
      </c>
      <c r="D127" s="62"/>
      <c r="E127" s="157"/>
      <c r="F127" s="161"/>
      <c r="G127" s="37"/>
      <c r="H127" s="138" t="s">
        <v>314</v>
      </c>
      <c r="I127" s="63" t="s">
        <v>666</v>
      </c>
      <c r="J127" s="208"/>
      <c r="K127" s="713"/>
      <c r="L127" s="713"/>
      <c r="M127" s="713"/>
      <c r="N127" s="160">
        <v>100</v>
      </c>
      <c r="O127" s="160">
        <v>120</v>
      </c>
      <c r="P127" s="209"/>
      <c r="Q127" s="37"/>
      <c r="R127" s="52"/>
      <c r="S127" s="52"/>
      <c r="T127" s="37"/>
      <c r="U127" s="37"/>
      <c r="V127" s="59">
        <v>126</v>
      </c>
      <c r="W127" s="59">
        <v>129.60000000000002</v>
      </c>
    </row>
    <row r="128" spans="1:23" ht="293.25" x14ac:dyDescent="0.2">
      <c r="A128" s="60">
        <v>5041</v>
      </c>
      <c r="B128" s="60">
        <v>415</v>
      </c>
      <c r="C128" s="61"/>
      <c r="D128" s="62"/>
      <c r="E128" s="157"/>
      <c r="F128" s="161"/>
      <c r="G128" s="42" t="s">
        <v>317</v>
      </c>
      <c r="H128" s="702"/>
      <c r="I128" s="711" t="s">
        <v>679</v>
      </c>
      <c r="J128" s="713" t="s">
        <v>818</v>
      </c>
      <c r="K128" s="713"/>
      <c r="L128" s="713" t="s">
        <v>819</v>
      </c>
      <c r="M128" s="123">
        <v>535.91999999999996</v>
      </c>
      <c r="N128" s="76">
        <v>1563</v>
      </c>
      <c r="O128" s="154">
        <v>1708</v>
      </c>
      <c r="P128" s="67"/>
      <c r="Q128" s="37"/>
      <c r="R128" s="52"/>
      <c r="S128" s="210"/>
      <c r="T128" s="37"/>
      <c r="U128" s="37"/>
      <c r="V128" s="59">
        <v>2183</v>
      </c>
      <c r="W128" s="59">
        <v>2499</v>
      </c>
    </row>
    <row r="129" spans="1:23" x14ac:dyDescent="0.2">
      <c r="A129" s="60"/>
      <c r="B129" s="60"/>
      <c r="C129" s="61"/>
      <c r="D129" s="62"/>
      <c r="E129" s="157"/>
      <c r="F129" s="161"/>
      <c r="G129" s="42" t="s">
        <v>820</v>
      </c>
      <c r="H129" s="701"/>
      <c r="I129" s="711"/>
      <c r="J129" s="713"/>
      <c r="K129" s="713"/>
      <c r="L129" s="713"/>
      <c r="M129" s="713"/>
      <c r="N129" s="76"/>
      <c r="O129" s="76"/>
      <c r="P129" s="67"/>
      <c r="Q129" s="37"/>
      <c r="R129" s="52"/>
      <c r="S129" s="52"/>
      <c r="T129" s="37"/>
      <c r="U129" s="37"/>
      <c r="V129" s="59"/>
      <c r="W129" s="59"/>
    </row>
    <row r="130" spans="1:23" x14ac:dyDescent="0.2">
      <c r="A130" s="211">
        <v>5042</v>
      </c>
      <c r="B130" s="211"/>
      <c r="C130" s="185">
        <v>20</v>
      </c>
      <c r="D130" s="212"/>
      <c r="E130" s="157"/>
      <c r="F130" s="161"/>
      <c r="G130" s="213"/>
      <c r="H130" s="214" t="s">
        <v>320</v>
      </c>
      <c r="I130" s="215" t="s">
        <v>484</v>
      </c>
      <c r="J130" s="216" t="s">
        <v>821</v>
      </c>
      <c r="K130" s="216"/>
      <c r="L130" s="216"/>
      <c r="M130" s="216"/>
      <c r="N130" s="154">
        <v>430.9</v>
      </c>
      <c r="O130" s="154">
        <v>433</v>
      </c>
      <c r="P130" s="217"/>
      <c r="Q130" s="218"/>
      <c r="R130" s="219" t="s">
        <v>822</v>
      </c>
      <c r="S130" s="219" t="s">
        <v>823</v>
      </c>
      <c r="T130" s="218"/>
      <c r="U130" s="218"/>
      <c r="V130" s="59">
        <v>528</v>
      </c>
      <c r="W130" s="59">
        <v>560</v>
      </c>
    </row>
    <row r="131" spans="1:23" x14ac:dyDescent="0.2">
      <c r="A131" s="60"/>
      <c r="B131" s="60"/>
      <c r="C131" s="61">
        <v>21</v>
      </c>
      <c r="D131" s="62" t="s">
        <v>542</v>
      </c>
      <c r="E131" s="157"/>
      <c r="F131" s="220"/>
      <c r="G131" s="811" t="s">
        <v>824</v>
      </c>
      <c r="H131" s="811"/>
      <c r="I131" s="712"/>
      <c r="J131" s="713"/>
      <c r="K131" s="701"/>
      <c r="L131" s="701"/>
      <c r="M131" s="701"/>
      <c r="N131" s="76"/>
      <c r="O131" s="76"/>
      <c r="P131" s="67"/>
      <c r="Q131" s="37"/>
      <c r="R131" s="52"/>
      <c r="S131" s="52"/>
      <c r="T131" s="37"/>
      <c r="U131" s="37"/>
      <c r="V131" s="59"/>
      <c r="W131" s="59"/>
    </row>
    <row r="132" spans="1:23" x14ac:dyDescent="0.2">
      <c r="A132" s="60">
        <v>5050</v>
      </c>
      <c r="B132" s="60"/>
      <c r="C132" s="61"/>
      <c r="D132" s="62"/>
      <c r="E132" s="221"/>
      <c r="F132" s="222"/>
      <c r="G132" s="42"/>
      <c r="H132" s="162" t="s">
        <v>825</v>
      </c>
      <c r="I132" s="146" t="s">
        <v>826</v>
      </c>
      <c r="J132" s="800" t="s">
        <v>827</v>
      </c>
      <c r="K132" s="701"/>
      <c r="L132" s="701"/>
      <c r="M132" s="701"/>
      <c r="N132" s="76">
        <v>5706</v>
      </c>
      <c r="O132" s="154">
        <v>5963</v>
      </c>
      <c r="P132" s="67"/>
      <c r="Q132" s="37"/>
      <c r="R132" s="52"/>
      <c r="S132" s="52"/>
      <c r="T132" s="37"/>
      <c r="U132" s="37"/>
      <c r="V132" s="59">
        <v>7066</v>
      </c>
      <c r="W132" s="59">
        <v>7434.28</v>
      </c>
    </row>
    <row r="133" spans="1:23" ht="25.5" x14ac:dyDescent="0.2">
      <c r="A133" s="60">
        <v>5060</v>
      </c>
      <c r="B133" s="60"/>
      <c r="C133" s="61"/>
      <c r="D133" s="62"/>
      <c r="E133" s="221"/>
      <c r="F133" s="222"/>
      <c r="G133" s="42"/>
      <c r="H133" s="162" t="s">
        <v>828</v>
      </c>
      <c r="I133" s="146" t="s">
        <v>169</v>
      </c>
      <c r="J133" s="800"/>
      <c r="K133" s="701"/>
      <c r="L133" s="701"/>
      <c r="M133" s="701"/>
      <c r="N133" s="159">
        <v>76.08</v>
      </c>
      <c r="O133" s="160">
        <v>79.510000000000005</v>
      </c>
      <c r="P133" s="177"/>
      <c r="Q133" s="37"/>
      <c r="R133" s="52"/>
      <c r="S133" s="52"/>
      <c r="T133" s="37"/>
      <c r="U133" s="37"/>
      <c r="V133" s="59">
        <v>94.21</v>
      </c>
      <c r="W133" s="59">
        <v>99.12</v>
      </c>
    </row>
    <row r="134" spans="1:23" x14ac:dyDescent="0.2">
      <c r="A134" s="60">
        <v>5070</v>
      </c>
      <c r="B134" s="60"/>
      <c r="C134" s="61"/>
      <c r="D134" s="62"/>
      <c r="E134" s="221"/>
      <c r="F134" s="222"/>
      <c r="G134" s="42"/>
      <c r="H134" s="162" t="s">
        <v>829</v>
      </c>
      <c r="I134" s="146" t="s">
        <v>826</v>
      </c>
      <c r="J134" s="800"/>
      <c r="K134" s="701"/>
      <c r="L134" s="701"/>
      <c r="M134" s="701"/>
      <c r="N134" s="159">
        <v>7084</v>
      </c>
      <c r="O134" s="160">
        <v>7557</v>
      </c>
      <c r="P134" s="177"/>
      <c r="Q134" s="37"/>
      <c r="R134" s="52"/>
      <c r="S134" s="52"/>
      <c r="T134" s="37"/>
      <c r="U134" s="37"/>
      <c r="V134" s="59">
        <v>9122</v>
      </c>
      <c r="W134" s="59" t="s">
        <v>830</v>
      </c>
    </row>
    <row r="135" spans="1:23" ht="25.5" x14ac:dyDescent="0.2">
      <c r="A135" s="60">
        <v>5090</v>
      </c>
      <c r="B135" s="60"/>
      <c r="C135" s="61"/>
      <c r="D135" s="62"/>
      <c r="E135" s="221"/>
      <c r="F135" s="222"/>
      <c r="G135" s="42"/>
      <c r="H135" s="162" t="s">
        <v>831</v>
      </c>
      <c r="I135" s="146" t="s">
        <v>169</v>
      </c>
      <c r="J135" s="800"/>
      <c r="K135" s="701"/>
      <c r="L135" s="701"/>
      <c r="M135" s="701"/>
      <c r="N135" s="159">
        <v>56.67</v>
      </c>
      <c r="O135" s="160">
        <v>60.45</v>
      </c>
      <c r="P135" s="177"/>
      <c r="Q135" s="37"/>
      <c r="R135" s="52"/>
      <c r="S135" s="52"/>
      <c r="T135" s="37"/>
      <c r="U135" s="37"/>
      <c r="V135" s="59">
        <v>72.97</v>
      </c>
      <c r="W135" s="59">
        <v>76.75</v>
      </c>
    </row>
    <row r="136" spans="1:23" ht="25.5" x14ac:dyDescent="0.2">
      <c r="A136" s="60">
        <v>5100</v>
      </c>
      <c r="B136" s="60"/>
      <c r="C136" s="61"/>
      <c r="D136" s="62"/>
      <c r="E136" s="221"/>
      <c r="F136" s="222"/>
      <c r="G136" s="42"/>
      <c r="H136" s="701" t="s">
        <v>832</v>
      </c>
      <c r="I136" s="146" t="s">
        <v>686</v>
      </c>
      <c r="J136" s="704"/>
      <c r="K136" s="701"/>
      <c r="L136" s="701"/>
      <c r="M136" s="701"/>
      <c r="N136" s="76">
        <v>349.63</v>
      </c>
      <c r="O136" s="154">
        <v>462.24</v>
      </c>
      <c r="P136" s="67"/>
      <c r="Q136" s="37"/>
      <c r="R136" s="52"/>
      <c r="S136" s="52"/>
      <c r="T136" s="37"/>
      <c r="U136" s="37"/>
      <c r="V136" s="59">
        <v>636.13</v>
      </c>
      <c r="W136" s="59">
        <v>689.59</v>
      </c>
    </row>
    <row r="137" spans="1:23" x14ac:dyDescent="0.2">
      <c r="A137" s="60"/>
      <c r="B137" s="60"/>
      <c r="C137" s="61">
        <v>22</v>
      </c>
      <c r="D137" s="62"/>
      <c r="E137" s="82"/>
      <c r="F137" s="184"/>
      <c r="G137" s="42" t="s">
        <v>833</v>
      </c>
      <c r="H137" s="702"/>
      <c r="I137" s="166"/>
      <c r="J137" s="713"/>
      <c r="K137" s="78"/>
      <c r="L137" s="78"/>
      <c r="M137" s="78"/>
      <c r="N137" s="76"/>
      <c r="O137" s="154">
        <v>433</v>
      </c>
      <c r="P137" s="67"/>
      <c r="Q137" s="37"/>
      <c r="R137" s="52"/>
      <c r="S137" s="52"/>
      <c r="T137" s="37"/>
      <c r="U137" s="37"/>
      <c r="V137" s="59"/>
      <c r="W137" s="59"/>
    </row>
    <row r="138" spans="1:23" ht="25.5" x14ac:dyDescent="0.2">
      <c r="A138" s="60">
        <v>5110</v>
      </c>
      <c r="B138" s="60"/>
      <c r="C138" s="61"/>
      <c r="D138" s="62"/>
      <c r="E138" s="137"/>
      <c r="F138" s="223"/>
      <c r="G138" s="224"/>
      <c r="H138" s="706" t="s">
        <v>834</v>
      </c>
      <c r="I138" s="712" t="s">
        <v>835</v>
      </c>
      <c r="J138" s="812" t="s">
        <v>836</v>
      </c>
      <c r="K138" s="225" t="s">
        <v>837</v>
      </c>
      <c r="L138" s="801" t="s">
        <v>650</v>
      </c>
      <c r="M138" s="708"/>
      <c r="N138" s="226">
        <v>6708</v>
      </c>
      <c r="O138" s="227">
        <v>6947</v>
      </c>
      <c r="P138" s="228"/>
      <c r="Q138" s="37"/>
      <c r="R138" s="52"/>
      <c r="S138" s="52"/>
      <c r="T138" s="37"/>
      <c r="U138" s="37"/>
      <c r="V138" s="59">
        <v>8415.6299999999992</v>
      </c>
      <c r="W138" s="59">
        <v>8828.25</v>
      </c>
    </row>
    <row r="139" spans="1:23" ht="25.5" x14ac:dyDescent="0.2">
      <c r="A139" s="60">
        <v>5120</v>
      </c>
      <c r="B139" s="60"/>
      <c r="C139" s="61"/>
      <c r="D139" s="62"/>
      <c r="E139" s="137"/>
      <c r="F139" s="223"/>
      <c r="G139" s="224"/>
      <c r="H139" s="706" t="s">
        <v>838</v>
      </c>
      <c r="I139" s="712" t="s">
        <v>835</v>
      </c>
      <c r="J139" s="812"/>
      <c r="K139" s="225"/>
      <c r="L139" s="801"/>
      <c r="M139" s="708"/>
      <c r="N139" s="226">
        <v>12411</v>
      </c>
      <c r="O139" s="227">
        <v>11554</v>
      </c>
      <c r="P139" s="228"/>
      <c r="Q139" s="37"/>
      <c r="R139" s="52"/>
      <c r="S139" s="52"/>
      <c r="T139" s="37"/>
      <c r="U139" s="37"/>
      <c r="V139" s="59">
        <v>13743.08</v>
      </c>
      <c r="W139" s="59">
        <v>14343.93</v>
      </c>
    </row>
    <row r="140" spans="1:23" ht="25.5" x14ac:dyDescent="0.2">
      <c r="A140" s="60">
        <v>7010</v>
      </c>
      <c r="B140" s="60"/>
      <c r="C140" s="61"/>
      <c r="D140" s="62"/>
      <c r="E140" s="137"/>
      <c r="F140" s="223"/>
      <c r="G140" s="224"/>
      <c r="H140" s="706" t="s">
        <v>839</v>
      </c>
      <c r="I140" s="712" t="s">
        <v>835</v>
      </c>
      <c r="J140" s="812"/>
      <c r="K140" s="225"/>
      <c r="L140" s="801"/>
      <c r="M140" s="708"/>
      <c r="N140" s="226">
        <v>18074</v>
      </c>
      <c r="O140" s="227">
        <v>17950</v>
      </c>
      <c r="P140" s="228"/>
      <c r="Q140" s="37"/>
      <c r="R140" s="52"/>
      <c r="S140" s="52"/>
      <c r="T140" s="37"/>
      <c r="U140" s="37"/>
      <c r="V140" s="59">
        <v>20799.05</v>
      </c>
      <c r="W140" s="59">
        <v>21750.03</v>
      </c>
    </row>
    <row r="141" spans="1:23" ht="25.5" x14ac:dyDescent="0.2">
      <c r="A141" s="60">
        <v>7020</v>
      </c>
      <c r="B141" s="60"/>
      <c r="C141" s="61"/>
      <c r="D141" s="62"/>
      <c r="E141" s="137"/>
      <c r="F141" s="223"/>
      <c r="G141" s="224"/>
      <c r="H141" s="706" t="s">
        <v>840</v>
      </c>
      <c r="I141" s="712" t="s">
        <v>835</v>
      </c>
      <c r="J141" s="812"/>
      <c r="K141" s="225"/>
      <c r="L141" s="801"/>
      <c r="M141" s="708"/>
      <c r="N141" s="229">
        <v>39333</v>
      </c>
      <c r="O141" s="230">
        <v>36908</v>
      </c>
      <c r="P141" s="231"/>
      <c r="Q141" s="37"/>
      <c r="R141" s="52"/>
      <c r="S141" s="52"/>
      <c r="T141" s="37"/>
      <c r="U141" s="37"/>
      <c r="V141" s="59">
        <v>42798.1</v>
      </c>
      <c r="W141" s="59">
        <v>44690.1</v>
      </c>
    </row>
    <row r="142" spans="1:23" x14ac:dyDescent="0.2">
      <c r="A142" s="60">
        <v>7030</v>
      </c>
      <c r="B142" s="60"/>
      <c r="C142" s="61"/>
      <c r="D142" s="62"/>
      <c r="E142" s="137"/>
      <c r="F142" s="223"/>
      <c r="G142" s="224"/>
      <c r="H142" s="706" t="s">
        <v>841</v>
      </c>
      <c r="I142" s="712" t="s">
        <v>666</v>
      </c>
      <c r="J142" s="812"/>
      <c r="K142" s="225"/>
      <c r="L142" s="801"/>
      <c r="M142" s="708"/>
      <c r="N142" s="226">
        <v>1198</v>
      </c>
      <c r="O142" s="227">
        <v>1270</v>
      </c>
      <c r="P142" s="228"/>
      <c r="Q142" s="37"/>
      <c r="R142" s="52"/>
      <c r="S142" s="52"/>
      <c r="T142" s="37"/>
      <c r="U142" s="37"/>
      <c r="V142" s="59">
        <v>1414.63</v>
      </c>
      <c r="W142" s="59">
        <v>1490.33</v>
      </c>
    </row>
    <row r="143" spans="1:23" x14ac:dyDescent="0.2">
      <c r="A143" s="60">
        <v>7040</v>
      </c>
      <c r="B143" s="60"/>
      <c r="C143" s="61"/>
      <c r="D143" s="62"/>
      <c r="E143" s="137"/>
      <c r="F143" s="223"/>
      <c r="G143" s="224"/>
      <c r="H143" s="706" t="s">
        <v>842</v>
      </c>
      <c r="I143" s="712" t="s">
        <v>835</v>
      </c>
      <c r="J143" s="812"/>
      <c r="K143" s="225"/>
      <c r="L143" s="801"/>
      <c r="M143" s="708"/>
      <c r="N143" s="226">
        <v>926</v>
      </c>
      <c r="O143" s="227">
        <v>886</v>
      </c>
      <c r="P143" s="228"/>
      <c r="Q143" s="37"/>
      <c r="R143" s="52"/>
      <c r="S143" s="52"/>
      <c r="T143" s="37"/>
      <c r="U143" s="37"/>
      <c r="V143" s="59">
        <v>1045.2984140378201</v>
      </c>
      <c r="W143" s="59">
        <v>1093.0629052108202</v>
      </c>
    </row>
    <row r="144" spans="1:23" x14ac:dyDescent="0.2">
      <c r="A144" s="60">
        <v>7050</v>
      </c>
      <c r="B144" s="60"/>
      <c r="C144" s="61"/>
      <c r="D144" s="62"/>
      <c r="E144" s="137"/>
      <c r="F144" s="223"/>
      <c r="G144" s="224"/>
      <c r="H144" s="706" t="s">
        <v>843</v>
      </c>
      <c r="I144" s="712" t="s">
        <v>169</v>
      </c>
      <c r="J144" s="812"/>
      <c r="K144" s="225"/>
      <c r="L144" s="801"/>
      <c r="M144" s="708"/>
      <c r="N144" s="232">
        <f>580*(1+5%)^2</f>
        <v>639.45000000000005</v>
      </c>
      <c r="O144" s="233">
        <v>767.34</v>
      </c>
      <c r="P144" s="234"/>
      <c r="Q144" s="37"/>
      <c r="R144" s="52"/>
      <c r="S144" s="52"/>
      <c r="T144" s="37"/>
      <c r="U144" s="37"/>
      <c r="V144" s="59">
        <v>905.3039334399333</v>
      </c>
      <c r="W144" s="59">
        <v>946.6714330524502</v>
      </c>
    </row>
    <row r="145" spans="1:23" x14ac:dyDescent="0.2">
      <c r="A145" s="60">
        <v>7060</v>
      </c>
      <c r="B145" s="60"/>
      <c r="C145" s="61"/>
      <c r="D145" s="62"/>
      <c r="E145" s="137"/>
      <c r="F145" s="223"/>
      <c r="G145" s="224"/>
      <c r="H145" s="706" t="s">
        <v>844</v>
      </c>
      <c r="I145" s="712" t="s">
        <v>835</v>
      </c>
      <c r="J145" s="812"/>
      <c r="K145" s="235"/>
      <c r="L145" s="801"/>
      <c r="M145" s="708"/>
      <c r="N145" s="226">
        <v>2714</v>
      </c>
      <c r="O145" s="227">
        <v>2656</v>
      </c>
      <c r="P145" s="228"/>
      <c r="Q145" s="37"/>
      <c r="R145" s="52"/>
      <c r="S145" s="52"/>
      <c r="T145" s="37"/>
      <c r="U145" s="37"/>
      <c r="V145" s="59">
        <v>3097.3</v>
      </c>
      <c r="W145" s="59">
        <v>3335.95</v>
      </c>
    </row>
    <row r="146" spans="1:23" x14ac:dyDescent="0.2">
      <c r="A146" s="60">
        <v>7070</v>
      </c>
      <c r="B146" s="60"/>
      <c r="C146" s="61"/>
      <c r="D146" s="62"/>
      <c r="E146" s="236"/>
      <c r="F146" s="237"/>
      <c r="G146" s="42"/>
      <c r="H146" s="162" t="s">
        <v>845</v>
      </c>
      <c r="I146" s="712" t="s">
        <v>835</v>
      </c>
      <c r="J146" s="812"/>
      <c r="K146" s="238"/>
      <c r="L146" s="801"/>
      <c r="M146" s="708"/>
      <c r="N146" s="226">
        <v>3785</v>
      </c>
      <c r="O146" s="227">
        <v>3587</v>
      </c>
      <c r="P146" s="228"/>
      <c r="Q146" s="37"/>
      <c r="R146" s="52"/>
      <c r="S146" s="52"/>
      <c r="T146" s="37"/>
      <c r="U146" s="37"/>
      <c r="V146" s="59">
        <v>4211.6499999999996</v>
      </c>
      <c r="W146" s="59">
        <v>4261.08</v>
      </c>
    </row>
    <row r="147" spans="1:23" x14ac:dyDescent="0.2">
      <c r="A147" s="239"/>
      <c r="B147" s="239"/>
      <c r="C147" s="239"/>
      <c r="D147" s="117"/>
      <c r="E147" s="802" t="s">
        <v>846</v>
      </c>
      <c r="F147" s="803"/>
      <c r="G147" s="803"/>
      <c r="H147" s="803"/>
      <c r="I147" s="803"/>
      <c r="J147" s="803"/>
      <c r="K147" s="803"/>
      <c r="L147" s="803"/>
      <c r="M147" s="803"/>
      <c r="N147" s="804"/>
      <c r="O147" s="710"/>
      <c r="P147" s="240"/>
      <c r="Q147" s="37"/>
      <c r="R147" s="52"/>
      <c r="S147" s="52"/>
      <c r="T147" s="37"/>
      <c r="U147" s="37"/>
      <c r="V147" s="59"/>
      <c r="W147" s="59"/>
    </row>
    <row r="148" spans="1:23" x14ac:dyDescent="0.2">
      <c r="A148" s="60">
        <v>7080</v>
      </c>
      <c r="B148" s="60"/>
      <c r="C148" s="61">
        <v>23</v>
      </c>
      <c r="D148" s="62"/>
      <c r="E148" s="157"/>
      <c r="F148" s="241" t="s">
        <v>689</v>
      </c>
      <c r="G148" s="42" t="s">
        <v>379</v>
      </c>
      <c r="H148" s="702"/>
      <c r="I148" s="711" t="s">
        <v>847</v>
      </c>
      <c r="J148" s="242"/>
      <c r="K148" s="242"/>
      <c r="L148" s="200"/>
      <c r="M148" s="200"/>
      <c r="N148" s="76">
        <v>362.5</v>
      </c>
      <c r="O148" s="154">
        <v>459</v>
      </c>
      <c r="P148" s="67"/>
      <c r="Q148" s="37"/>
      <c r="R148" s="52"/>
      <c r="S148" s="52"/>
      <c r="T148" s="206"/>
      <c r="U148" s="206"/>
      <c r="V148" s="59">
        <v>633.41999999999996</v>
      </c>
      <c r="W148" s="59">
        <v>683.91</v>
      </c>
    </row>
    <row r="149" spans="1:23" x14ac:dyDescent="0.2">
      <c r="A149" s="60">
        <v>7090</v>
      </c>
      <c r="B149" s="60"/>
      <c r="C149" s="61">
        <v>24</v>
      </c>
      <c r="D149" s="62"/>
      <c r="E149" s="82"/>
      <c r="F149" s="241" t="s">
        <v>689</v>
      </c>
      <c r="G149" s="811" t="s">
        <v>848</v>
      </c>
      <c r="H149" s="811"/>
      <c r="I149" s="711"/>
      <c r="J149" s="242"/>
      <c r="K149" s="242"/>
      <c r="L149" s="713"/>
      <c r="M149" s="713"/>
      <c r="N149" s="76"/>
      <c r="O149" s="154"/>
      <c r="P149" s="67"/>
      <c r="Q149" s="37"/>
      <c r="R149" s="52"/>
      <c r="S149" s="52"/>
      <c r="T149" s="206"/>
      <c r="U149" s="206"/>
      <c r="V149" s="59"/>
      <c r="W149" s="59"/>
    </row>
    <row r="150" spans="1:23" x14ac:dyDescent="0.2">
      <c r="A150" s="60">
        <v>7100</v>
      </c>
      <c r="B150" s="60"/>
      <c r="C150" s="61"/>
      <c r="D150" s="62"/>
      <c r="E150" s="82"/>
      <c r="F150" s="83"/>
      <c r="G150" s="42"/>
      <c r="H150" s="701" t="s">
        <v>849</v>
      </c>
      <c r="I150" s="711" t="s">
        <v>702</v>
      </c>
      <c r="J150" s="242"/>
      <c r="K150" s="242"/>
      <c r="L150" s="713"/>
      <c r="M150" s="713"/>
      <c r="N150" s="226">
        <v>2543</v>
      </c>
      <c r="O150" s="227">
        <v>2069</v>
      </c>
      <c r="P150" s="228"/>
      <c r="Q150" s="37"/>
      <c r="R150" s="52"/>
      <c r="S150" s="52"/>
      <c r="T150" s="206"/>
      <c r="U150" s="206"/>
      <c r="V150" s="59">
        <v>2389.2199999999998</v>
      </c>
      <c r="W150" s="59">
        <v>2479.88</v>
      </c>
    </row>
    <row r="151" spans="1:23" x14ac:dyDescent="0.2">
      <c r="A151" s="60">
        <v>7110</v>
      </c>
      <c r="B151" s="60"/>
      <c r="C151" s="61"/>
      <c r="D151" s="62"/>
      <c r="E151" s="82"/>
      <c r="F151" s="83"/>
      <c r="G151" s="42"/>
      <c r="H151" s="701" t="s">
        <v>850</v>
      </c>
      <c r="I151" s="711" t="s">
        <v>702</v>
      </c>
      <c r="J151" s="242"/>
      <c r="K151" s="242"/>
      <c r="L151" s="713"/>
      <c r="M151" s="713"/>
      <c r="N151" s="226">
        <v>3440</v>
      </c>
      <c r="O151" s="227">
        <v>2939</v>
      </c>
      <c r="P151" s="228"/>
      <c r="Q151" s="37"/>
      <c r="R151" s="52"/>
      <c r="S151" s="52"/>
      <c r="T151" s="206"/>
      <c r="U151" s="206"/>
      <c r="V151" s="59">
        <v>3389.71</v>
      </c>
      <c r="W151" s="59">
        <v>3547.48</v>
      </c>
    </row>
    <row r="152" spans="1:23" x14ac:dyDescent="0.2">
      <c r="A152" s="60">
        <v>7120</v>
      </c>
      <c r="B152" s="60"/>
      <c r="C152" s="61"/>
      <c r="D152" s="62"/>
      <c r="E152" s="82"/>
      <c r="F152" s="83"/>
      <c r="G152" s="42"/>
      <c r="H152" s="701" t="s">
        <v>851</v>
      </c>
      <c r="I152" s="711" t="s">
        <v>702</v>
      </c>
      <c r="J152" s="242"/>
      <c r="K152" s="242"/>
      <c r="L152" s="713"/>
      <c r="M152" s="713"/>
      <c r="N152" s="226">
        <v>7426</v>
      </c>
      <c r="O152" s="227">
        <v>5838</v>
      </c>
      <c r="P152" s="228"/>
      <c r="Q152" s="37"/>
      <c r="R152" s="52"/>
      <c r="S152" s="52"/>
      <c r="T152" s="206"/>
      <c r="U152" s="206"/>
      <c r="V152" s="59">
        <v>6638.26</v>
      </c>
      <c r="W152" s="59">
        <v>6972.04</v>
      </c>
    </row>
    <row r="153" spans="1:23" x14ac:dyDescent="0.2">
      <c r="A153" s="60">
        <v>7130</v>
      </c>
      <c r="B153" s="60"/>
      <c r="C153" s="61">
        <v>25</v>
      </c>
      <c r="D153" s="62"/>
      <c r="E153" s="157"/>
      <c r="F153" s="241" t="s">
        <v>689</v>
      </c>
      <c r="G153" s="813" t="s">
        <v>852</v>
      </c>
      <c r="H153" s="813"/>
      <c r="I153" s="116" t="s">
        <v>853</v>
      </c>
      <c r="J153" s="208"/>
      <c r="K153" s="243"/>
      <c r="L153" s="238"/>
      <c r="M153" s="238"/>
      <c r="N153" s="76">
        <v>50.61</v>
      </c>
      <c r="O153" s="154">
        <v>11.85</v>
      </c>
      <c r="P153" s="67"/>
      <c r="Q153" s="37"/>
      <c r="R153" s="52"/>
      <c r="S153" s="52"/>
      <c r="T153" s="206"/>
      <c r="U153" s="206"/>
      <c r="V153" s="59">
        <v>10.69</v>
      </c>
      <c r="W153" s="59">
        <v>10.87</v>
      </c>
    </row>
    <row r="154" spans="1:23" x14ac:dyDescent="0.2">
      <c r="A154" s="239"/>
      <c r="B154" s="239"/>
      <c r="C154" s="239"/>
      <c r="D154" s="244"/>
      <c r="E154" s="245" t="s">
        <v>854</v>
      </c>
      <c r="F154" s="246"/>
      <c r="G154" s="247"/>
      <c r="H154" s="239"/>
      <c r="I154" s="710"/>
      <c r="J154" s="710"/>
      <c r="K154" s="710"/>
      <c r="L154" s="710"/>
      <c r="M154" s="710"/>
      <c r="N154" s="248"/>
      <c r="O154" s="248"/>
      <c r="P154" s="249"/>
      <c r="Q154" s="37"/>
      <c r="R154" s="52"/>
      <c r="S154" s="52"/>
      <c r="T154" s="37"/>
      <c r="U154" s="250"/>
      <c r="V154" s="251"/>
      <c r="W154" s="251"/>
    </row>
    <row r="155" spans="1:23" x14ac:dyDescent="0.2">
      <c r="A155" s="60">
        <v>7130</v>
      </c>
      <c r="B155" s="60"/>
      <c r="C155" s="61">
        <v>26</v>
      </c>
      <c r="D155" s="62"/>
      <c r="E155" s="82"/>
      <c r="F155" s="252" t="s">
        <v>689</v>
      </c>
      <c r="G155" s="808" t="s">
        <v>855</v>
      </c>
      <c r="H155" s="808"/>
      <c r="I155" s="711" t="s">
        <v>702</v>
      </c>
      <c r="J155" s="713"/>
      <c r="K155" s="713"/>
      <c r="L155" s="713"/>
      <c r="M155" s="713"/>
      <c r="N155" s="253">
        <v>1.3</v>
      </c>
      <c r="O155" s="253"/>
      <c r="P155" s="254"/>
      <c r="Q155" s="37"/>
      <c r="R155" s="52"/>
      <c r="S155" s="52"/>
      <c r="T155" s="37"/>
      <c r="U155" s="37"/>
      <c r="V155" s="59"/>
      <c r="W155" s="59"/>
    </row>
    <row r="156" spans="1:23" x14ac:dyDescent="0.2">
      <c r="A156" s="60"/>
      <c r="B156" s="60"/>
      <c r="C156" s="61"/>
      <c r="D156" s="62"/>
      <c r="E156" s="82"/>
      <c r="F156" s="83"/>
      <c r="G156" s="707" t="s">
        <v>856</v>
      </c>
      <c r="H156" s="707"/>
      <c r="I156" s="711"/>
      <c r="J156" s="713"/>
      <c r="K156" s="713"/>
      <c r="L156" s="713"/>
      <c r="M156" s="713"/>
      <c r="N156" s="253"/>
      <c r="O156" s="253"/>
      <c r="P156" s="254"/>
      <c r="Q156" s="37"/>
      <c r="R156" s="52"/>
      <c r="S156" s="52"/>
      <c r="T156" s="37"/>
      <c r="U156" s="37"/>
      <c r="V156" s="59"/>
      <c r="W156" s="59"/>
    </row>
    <row r="157" spans="1:23" ht="242.25" x14ac:dyDescent="0.2">
      <c r="A157" s="60">
        <v>7140</v>
      </c>
      <c r="B157" s="60">
        <v>501</v>
      </c>
      <c r="C157" s="61"/>
      <c r="D157" s="62" t="s">
        <v>542</v>
      </c>
      <c r="E157" s="82"/>
      <c r="F157" s="83"/>
      <c r="G157" s="42"/>
      <c r="H157" s="701" t="s">
        <v>397</v>
      </c>
      <c r="I157" s="712" t="s">
        <v>857</v>
      </c>
      <c r="J157" s="713"/>
      <c r="K157" s="713"/>
      <c r="L157" s="713"/>
      <c r="M157" s="84" t="s">
        <v>858</v>
      </c>
      <c r="N157" s="255" t="s">
        <v>859</v>
      </c>
      <c r="O157" s="255" t="s">
        <v>860</v>
      </c>
      <c r="P157" s="256"/>
      <c r="Q157" s="37" t="s">
        <v>655</v>
      </c>
      <c r="R157" s="68" t="s">
        <v>861</v>
      </c>
      <c r="S157" s="52" t="s">
        <v>862</v>
      </c>
      <c r="T157" s="37"/>
      <c r="U157" s="37"/>
      <c r="V157" s="257" t="s">
        <v>863</v>
      </c>
      <c r="W157" s="257" t="s">
        <v>864</v>
      </c>
    </row>
    <row r="158" spans="1:23" ht="25.5" x14ac:dyDescent="0.2">
      <c r="A158" s="60">
        <v>7150</v>
      </c>
      <c r="B158" s="60">
        <v>502</v>
      </c>
      <c r="C158" s="61"/>
      <c r="D158" s="62" t="s">
        <v>542</v>
      </c>
      <c r="E158" s="82"/>
      <c r="F158" s="83"/>
      <c r="G158" s="42"/>
      <c r="H158" s="701" t="s">
        <v>865</v>
      </c>
      <c r="I158" s="712"/>
      <c r="J158" s="713"/>
      <c r="K158" s="713"/>
      <c r="L158" s="713"/>
      <c r="M158" s="84">
        <v>370</v>
      </c>
      <c r="N158" s="255">
        <v>1233</v>
      </c>
      <c r="O158" s="255">
        <v>3855.1</v>
      </c>
      <c r="P158" s="67"/>
      <c r="Q158" s="37" t="s">
        <v>655</v>
      </c>
      <c r="R158" s="52"/>
      <c r="S158" s="52"/>
      <c r="T158" s="37"/>
      <c r="U158" s="37"/>
      <c r="V158" s="257">
        <v>3942</v>
      </c>
      <c r="W158" s="257">
        <v>3971</v>
      </c>
    </row>
    <row r="159" spans="1:23" x14ac:dyDescent="0.2">
      <c r="A159" s="60"/>
      <c r="B159" s="60"/>
      <c r="C159" s="61"/>
      <c r="D159" s="62"/>
      <c r="E159" s="82"/>
      <c r="F159" s="70"/>
      <c r="G159" s="707" t="s">
        <v>866</v>
      </c>
      <c r="H159" s="701"/>
      <c r="I159" s="712"/>
      <c r="J159" s="713"/>
      <c r="K159" s="713"/>
      <c r="L159" s="713"/>
      <c r="M159" s="84"/>
      <c r="N159" s="257"/>
      <c r="O159" s="257"/>
      <c r="P159" s="258"/>
      <c r="Q159" s="37"/>
      <c r="R159" s="52"/>
      <c r="S159" s="52"/>
      <c r="T159" s="37"/>
      <c r="U159" s="37"/>
      <c r="V159" s="257"/>
      <c r="W159" s="259"/>
    </row>
    <row r="160" spans="1:23" ht="38.25" x14ac:dyDescent="0.2">
      <c r="A160" s="60">
        <v>7160</v>
      </c>
      <c r="B160" s="60">
        <v>503</v>
      </c>
      <c r="C160" s="61"/>
      <c r="D160" s="62" t="s">
        <v>542</v>
      </c>
      <c r="E160" s="82"/>
      <c r="F160" s="83"/>
      <c r="G160" s="42"/>
      <c r="H160" s="701" t="s">
        <v>867</v>
      </c>
      <c r="I160" s="701" t="s">
        <v>868</v>
      </c>
      <c r="J160" s="713"/>
      <c r="K160" s="713"/>
      <c r="L160" s="713"/>
      <c r="M160" s="84" t="s">
        <v>869</v>
      </c>
      <c r="N160" s="255" t="s">
        <v>870</v>
      </c>
      <c r="O160" s="255" t="s">
        <v>871</v>
      </c>
      <c r="P160" s="256"/>
      <c r="Q160" s="37" t="s">
        <v>655</v>
      </c>
      <c r="R160" s="260"/>
      <c r="S160" s="52"/>
      <c r="T160" s="37"/>
      <c r="U160" s="37"/>
      <c r="V160" s="257" t="s">
        <v>872</v>
      </c>
      <c r="W160" s="261" t="s">
        <v>873</v>
      </c>
    </row>
    <row r="161" spans="1:23" ht="38.25" x14ac:dyDescent="0.2">
      <c r="A161" s="60">
        <v>7170</v>
      </c>
      <c r="B161" s="60">
        <v>504</v>
      </c>
      <c r="C161" s="61"/>
      <c r="D161" s="62" t="s">
        <v>542</v>
      </c>
      <c r="E161" s="82"/>
      <c r="F161" s="83"/>
      <c r="G161" s="42"/>
      <c r="H161" s="701" t="s">
        <v>874</v>
      </c>
      <c r="I161" s="701" t="s">
        <v>868</v>
      </c>
      <c r="J161" s="713"/>
      <c r="K161" s="713"/>
      <c r="L161" s="713"/>
      <c r="M161" s="84" t="s">
        <v>875</v>
      </c>
      <c r="N161" s="255" t="s">
        <v>876</v>
      </c>
      <c r="O161" s="255" t="s">
        <v>877</v>
      </c>
      <c r="P161" s="256"/>
      <c r="Q161" s="37" t="s">
        <v>655</v>
      </c>
      <c r="R161" s="260"/>
      <c r="S161" s="52"/>
      <c r="T161" s="37"/>
      <c r="U161" s="37"/>
      <c r="V161" s="257" t="s">
        <v>878</v>
      </c>
      <c r="W161" s="261" t="s">
        <v>879</v>
      </c>
    </row>
    <row r="162" spans="1:23" x14ac:dyDescent="0.2">
      <c r="A162" s="60">
        <v>7180</v>
      </c>
      <c r="B162" s="60">
        <v>505</v>
      </c>
      <c r="C162" s="61"/>
      <c r="D162" s="62" t="s">
        <v>542</v>
      </c>
      <c r="E162" s="82"/>
      <c r="F162" s="83"/>
      <c r="G162" s="42"/>
      <c r="H162" s="701" t="s">
        <v>880</v>
      </c>
      <c r="I162" s="712" t="s">
        <v>193</v>
      </c>
      <c r="J162" s="713"/>
      <c r="K162" s="713"/>
      <c r="L162" s="713"/>
      <c r="M162" s="84">
        <v>300</v>
      </c>
      <c r="N162" s="255">
        <v>903</v>
      </c>
      <c r="O162" s="255">
        <v>1239.5</v>
      </c>
      <c r="P162" s="67"/>
      <c r="Q162" s="37" t="s">
        <v>655</v>
      </c>
      <c r="R162" s="52"/>
      <c r="S162" s="52"/>
      <c r="T162" s="37"/>
      <c r="U162" s="37"/>
      <c r="V162" s="257">
        <v>944</v>
      </c>
      <c r="W162" s="261">
        <v>918</v>
      </c>
    </row>
    <row r="163" spans="1:23" x14ac:dyDescent="0.2">
      <c r="A163" s="60"/>
      <c r="B163" s="60"/>
      <c r="C163" s="61"/>
      <c r="D163" s="62" t="s">
        <v>542</v>
      </c>
      <c r="E163" s="82"/>
      <c r="F163" s="83"/>
      <c r="G163" s="707" t="s">
        <v>881</v>
      </c>
      <c r="H163" s="262"/>
      <c r="I163" s="712"/>
      <c r="J163" s="713"/>
      <c r="K163" s="713"/>
      <c r="L163" s="713"/>
      <c r="M163" s="84"/>
      <c r="N163" s="257"/>
      <c r="O163" s="257"/>
      <c r="P163" s="258"/>
      <c r="Q163" s="37"/>
      <c r="R163" s="52"/>
      <c r="S163" s="52"/>
      <c r="T163" s="37"/>
      <c r="U163" s="37"/>
      <c r="V163" s="257"/>
      <c r="W163" s="257"/>
    </row>
    <row r="164" spans="1:23" x14ac:dyDescent="0.2">
      <c r="A164" s="60">
        <v>7190</v>
      </c>
      <c r="B164" s="60">
        <v>506</v>
      </c>
      <c r="C164" s="61"/>
      <c r="D164" s="62" t="s">
        <v>542</v>
      </c>
      <c r="E164" s="82"/>
      <c r="F164" s="83"/>
      <c r="G164" s="42"/>
      <c r="H164" s="701" t="s">
        <v>867</v>
      </c>
      <c r="I164" s="712" t="s">
        <v>193</v>
      </c>
      <c r="J164" s="713"/>
      <c r="K164" s="713"/>
      <c r="L164" s="713"/>
      <c r="M164" s="84">
        <v>500</v>
      </c>
      <c r="N164" s="255">
        <v>442.1</v>
      </c>
      <c r="O164" s="255">
        <v>566.9</v>
      </c>
      <c r="P164" s="67"/>
      <c r="Q164" s="37" t="s">
        <v>655</v>
      </c>
      <c r="R164" s="52"/>
      <c r="S164" s="52"/>
      <c r="T164" s="37"/>
      <c r="U164" s="37"/>
      <c r="V164" s="257">
        <v>464</v>
      </c>
      <c r="W164" s="257">
        <v>481</v>
      </c>
    </row>
    <row r="165" spans="1:23" x14ac:dyDescent="0.2">
      <c r="A165" s="60">
        <v>7200</v>
      </c>
      <c r="B165" s="60">
        <v>507</v>
      </c>
      <c r="C165" s="61"/>
      <c r="D165" s="62" t="s">
        <v>542</v>
      </c>
      <c r="E165" s="82"/>
      <c r="F165" s="83"/>
      <c r="G165" s="42"/>
      <c r="H165" s="701" t="s">
        <v>874</v>
      </c>
      <c r="I165" s="712" t="s">
        <v>193</v>
      </c>
      <c r="J165" s="713"/>
      <c r="K165" s="713"/>
      <c r="L165" s="713"/>
      <c r="M165" s="84">
        <v>350</v>
      </c>
      <c r="N165" s="255">
        <v>313.20999999999998</v>
      </c>
      <c r="O165" s="255">
        <v>566.9</v>
      </c>
      <c r="P165" s="67"/>
      <c r="Q165" s="37" t="s">
        <v>655</v>
      </c>
      <c r="R165" s="52"/>
      <c r="S165" s="52"/>
      <c r="T165" s="37"/>
      <c r="U165" s="37"/>
      <c r="V165" s="257">
        <v>655</v>
      </c>
      <c r="W165" s="257">
        <v>680</v>
      </c>
    </row>
    <row r="166" spans="1:23" ht="165.75" x14ac:dyDescent="0.2">
      <c r="A166" s="60">
        <v>7210</v>
      </c>
      <c r="B166" s="60">
        <v>509</v>
      </c>
      <c r="C166" s="61"/>
      <c r="D166" s="62" t="s">
        <v>542</v>
      </c>
      <c r="E166" s="82"/>
      <c r="F166" s="83"/>
      <c r="G166" s="42"/>
      <c r="H166" s="701" t="s">
        <v>424</v>
      </c>
      <c r="I166" s="712" t="s">
        <v>882</v>
      </c>
      <c r="J166" s="713"/>
      <c r="K166" s="713"/>
      <c r="L166" s="713"/>
      <c r="M166" s="84">
        <v>100</v>
      </c>
      <c r="N166" s="255">
        <v>123</v>
      </c>
      <c r="O166" s="255">
        <v>150.6</v>
      </c>
      <c r="P166" s="67"/>
      <c r="Q166" s="37" t="s">
        <v>655</v>
      </c>
      <c r="R166" s="68" t="s">
        <v>883</v>
      </c>
      <c r="S166" s="68" t="s">
        <v>884</v>
      </c>
      <c r="T166" s="37"/>
      <c r="U166" s="37"/>
      <c r="V166" s="257">
        <v>145</v>
      </c>
      <c r="W166" s="257">
        <v>216</v>
      </c>
    </row>
    <row r="167" spans="1:23" ht="102" x14ac:dyDescent="0.2">
      <c r="A167" s="60">
        <v>7220</v>
      </c>
      <c r="B167" s="60">
        <v>510</v>
      </c>
      <c r="C167" s="61"/>
      <c r="D167" s="62" t="s">
        <v>542</v>
      </c>
      <c r="E167" s="82"/>
      <c r="F167" s="83"/>
      <c r="G167" s="42"/>
      <c r="H167" s="147" t="s">
        <v>885</v>
      </c>
      <c r="I167" s="712" t="s">
        <v>193</v>
      </c>
      <c r="J167" s="713"/>
      <c r="K167" s="713"/>
      <c r="L167" s="713"/>
      <c r="M167" s="84">
        <v>100</v>
      </c>
      <c r="N167" s="255">
        <v>249</v>
      </c>
      <c r="O167" s="255">
        <v>296.7</v>
      </c>
      <c r="P167" s="67"/>
      <c r="Q167" s="37" t="s">
        <v>655</v>
      </c>
      <c r="R167" s="68" t="s">
        <v>886</v>
      </c>
      <c r="S167" s="68" t="s">
        <v>887</v>
      </c>
      <c r="T167" s="37"/>
      <c r="U167" s="37"/>
      <c r="V167" s="257">
        <v>294</v>
      </c>
      <c r="W167" s="263">
        <v>296</v>
      </c>
    </row>
    <row r="168" spans="1:23" ht="25.5" x14ac:dyDescent="0.2">
      <c r="A168" s="60">
        <v>7230</v>
      </c>
      <c r="B168" s="60">
        <v>511</v>
      </c>
      <c r="C168" s="61"/>
      <c r="D168" s="62"/>
      <c r="E168" s="82"/>
      <c r="F168" s="70"/>
      <c r="G168" s="808" t="s">
        <v>888</v>
      </c>
      <c r="H168" s="808"/>
      <c r="I168" s="711" t="s">
        <v>889</v>
      </c>
      <c r="J168" s="713"/>
      <c r="K168" s="713"/>
      <c r="L168" s="72" t="s">
        <v>890</v>
      </c>
      <c r="M168" s="123">
        <v>280</v>
      </c>
      <c r="N168" s="253">
        <v>1922</v>
      </c>
      <c r="O168" s="253">
        <v>2289.4</v>
      </c>
      <c r="P168" s="254"/>
      <c r="Q168" s="37"/>
      <c r="R168" s="52"/>
      <c r="S168" s="52"/>
      <c r="T168" s="37"/>
      <c r="U168" s="37"/>
      <c r="V168" s="257" t="s">
        <v>891</v>
      </c>
      <c r="W168" s="264" t="s">
        <v>892</v>
      </c>
    </row>
    <row r="169" spans="1:23" ht="178.5" x14ac:dyDescent="0.2">
      <c r="A169" s="60">
        <v>7240</v>
      </c>
      <c r="B169" s="60">
        <v>512</v>
      </c>
      <c r="C169" s="61"/>
      <c r="D169" s="62"/>
      <c r="E169" s="151"/>
      <c r="F169" s="70"/>
      <c r="G169" s="814" t="s">
        <v>434</v>
      </c>
      <c r="H169" s="814"/>
      <c r="I169" s="265" t="s">
        <v>893</v>
      </c>
      <c r="J169" s="703" t="s">
        <v>894</v>
      </c>
      <c r="K169" s="703" t="s">
        <v>890</v>
      </c>
      <c r="L169" s="703" t="s">
        <v>895</v>
      </c>
      <c r="M169" s="123">
        <v>400</v>
      </c>
      <c r="N169" s="201">
        <f>1981*(1+5%)^2</f>
        <v>2184.0525000000002</v>
      </c>
      <c r="O169" s="201">
        <v>11957.5</v>
      </c>
      <c r="P169" s="254"/>
      <c r="Q169" s="37"/>
      <c r="R169" s="52"/>
      <c r="S169" s="52"/>
      <c r="T169" s="37"/>
      <c r="U169" s="37"/>
      <c r="V169" s="257">
        <v>21216</v>
      </c>
      <c r="W169" s="266">
        <v>21178</v>
      </c>
    </row>
    <row r="170" spans="1:23" x14ac:dyDescent="0.2">
      <c r="A170" s="125"/>
      <c r="B170" s="125"/>
      <c r="C170" s="126"/>
      <c r="D170" s="127"/>
      <c r="E170" s="139"/>
      <c r="F170" s="190"/>
      <c r="G170" s="809" t="s">
        <v>896</v>
      </c>
      <c r="H170" s="810"/>
      <c r="I170" s="267"/>
      <c r="J170" s="133"/>
      <c r="K170" s="133"/>
      <c r="L170" s="133"/>
      <c r="M170" s="196"/>
      <c r="N170" s="268"/>
      <c r="O170" s="268"/>
      <c r="P170" s="269"/>
      <c r="Q170" s="37"/>
      <c r="R170" s="52"/>
      <c r="S170" s="52"/>
      <c r="T170" s="37"/>
      <c r="U170" s="37"/>
      <c r="V170" s="59"/>
      <c r="W170" s="59"/>
    </row>
    <row r="171" spans="1:23" ht="204" x14ac:dyDescent="0.2">
      <c r="A171" s="125"/>
      <c r="B171" s="125"/>
      <c r="C171" s="126"/>
      <c r="D171" s="127"/>
      <c r="E171" s="139"/>
      <c r="F171" s="190"/>
      <c r="G171" s="817" t="s">
        <v>897</v>
      </c>
      <c r="H171" s="818"/>
      <c r="I171" s="267" t="s">
        <v>893</v>
      </c>
      <c r="J171" s="141" t="s">
        <v>898</v>
      </c>
      <c r="K171" s="133"/>
      <c r="L171" s="133" t="s">
        <v>895</v>
      </c>
      <c r="M171" s="196"/>
      <c r="N171" s="268">
        <v>85970</v>
      </c>
      <c r="O171" s="268"/>
      <c r="P171" s="269"/>
      <c r="Q171" s="37" t="s">
        <v>716</v>
      </c>
      <c r="R171" s="52"/>
      <c r="S171" s="52"/>
      <c r="T171" s="37"/>
      <c r="U171" s="37"/>
      <c r="V171" s="59"/>
      <c r="W171" s="59"/>
    </row>
    <row r="172" spans="1:23" ht="204" x14ac:dyDescent="0.2">
      <c r="A172" s="125"/>
      <c r="B172" s="125"/>
      <c r="C172" s="126"/>
      <c r="D172" s="127"/>
      <c r="E172" s="139"/>
      <c r="F172" s="190"/>
      <c r="G172" s="817" t="s">
        <v>899</v>
      </c>
      <c r="H172" s="818"/>
      <c r="I172" s="267"/>
      <c r="J172" s="141" t="s">
        <v>898</v>
      </c>
      <c r="K172" s="133"/>
      <c r="L172" s="133"/>
      <c r="M172" s="196"/>
      <c r="N172" s="268">
        <v>92120</v>
      </c>
      <c r="O172" s="268"/>
      <c r="P172" s="269"/>
      <c r="Q172" s="37" t="s">
        <v>716</v>
      </c>
      <c r="R172" s="52"/>
      <c r="S172" s="52"/>
      <c r="T172" s="37"/>
      <c r="U172" s="37"/>
      <c r="V172" s="59"/>
      <c r="W172" s="59"/>
    </row>
    <row r="173" spans="1:23" ht="204" x14ac:dyDescent="0.2">
      <c r="A173" s="125"/>
      <c r="B173" s="125"/>
      <c r="C173" s="126"/>
      <c r="D173" s="127"/>
      <c r="E173" s="139"/>
      <c r="F173" s="190"/>
      <c r="G173" s="817" t="s">
        <v>900</v>
      </c>
      <c r="H173" s="818"/>
      <c r="I173" s="267"/>
      <c r="J173" s="141" t="s">
        <v>898</v>
      </c>
      <c r="K173" s="133"/>
      <c r="L173" s="133"/>
      <c r="M173" s="196"/>
      <c r="N173" s="268">
        <v>144820</v>
      </c>
      <c r="O173" s="268"/>
      <c r="P173" s="269"/>
      <c r="Q173" s="37" t="s">
        <v>716</v>
      </c>
      <c r="R173" s="52"/>
      <c r="S173" s="52"/>
      <c r="T173" s="37"/>
      <c r="U173" s="37"/>
      <c r="V173" s="59"/>
      <c r="W173" s="59"/>
    </row>
    <row r="174" spans="1:23" ht="204" x14ac:dyDescent="0.2">
      <c r="A174" s="125"/>
      <c r="B174" s="125"/>
      <c r="C174" s="126"/>
      <c r="D174" s="127"/>
      <c r="E174" s="139"/>
      <c r="F174" s="190"/>
      <c r="G174" s="817" t="s">
        <v>901</v>
      </c>
      <c r="H174" s="818"/>
      <c r="I174" s="267"/>
      <c r="J174" s="141" t="s">
        <v>898</v>
      </c>
      <c r="K174" s="133"/>
      <c r="L174" s="133"/>
      <c r="M174" s="196"/>
      <c r="N174" s="268">
        <v>178115</v>
      </c>
      <c r="O174" s="268"/>
      <c r="P174" s="269"/>
      <c r="Q174" s="37" t="s">
        <v>716</v>
      </c>
      <c r="R174" s="52"/>
      <c r="S174" s="52"/>
      <c r="T174" s="37"/>
      <c r="U174" s="37"/>
      <c r="V174" s="59"/>
      <c r="W174" s="59"/>
    </row>
    <row r="175" spans="1:23" ht="204" x14ac:dyDescent="0.2">
      <c r="A175" s="125"/>
      <c r="B175" s="125"/>
      <c r="C175" s="126"/>
      <c r="D175" s="127"/>
      <c r="E175" s="139"/>
      <c r="F175" s="190"/>
      <c r="G175" s="817" t="s">
        <v>902</v>
      </c>
      <c r="H175" s="818"/>
      <c r="I175" s="267"/>
      <c r="J175" s="141" t="s">
        <v>898</v>
      </c>
      <c r="K175" s="133"/>
      <c r="L175" s="133"/>
      <c r="M175" s="196"/>
      <c r="N175" s="268">
        <v>115439</v>
      </c>
      <c r="O175" s="268"/>
      <c r="P175" s="269"/>
      <c r="Q175" s="37" t="s">
        <v>716</v>
      </c>
      <c r="R175" s="52"/>
      <c r="S175" s="52"/>
      <c r="T175" s="37"/>
      <c r="U175" s="37"/>
      <c r="V175" s="59"/>
      <c r="W175" s="59"/>
    </row>
    <row r="176" spans="1:23" ht="204" x14ac:dyDescent="0.2">
      <c r="A176" s="125"/>
      <c r="B176" s="125"/>
      <c r="C176" s="126"/>
      <c r="D176" s="127"/>
      <c r="E176" s="139"/>
      <c r="F176" s="190"/>
      <c r="G176" s="817" t="s">
        <v>903</v>
      </c>
      <c r="H176" s="818"/>
      <c r="I176" s="267"/>
      <c r="J176" s="141" t="s">
        <v>898</v>
      </c>
      <c r="K176" s="133"/>
      <c r="L176" s="133"/>
      <c r="M176" s="196"/>
      <c r="N176" s="268">
        <v>126528</v>
      </c>
      <c r="O176" s="268"/>
      <c r="P176" s="269"/>
      <c r="Q176" s="37" t="s">
        <v>716</v>
      </c>
      <c r="R176" s="52"/>
      <c r="S176" s="52"/>
      <c r="T176" s="37"/>
      <c r="U176" s="37"/>
      <c r="V176" s="59"/>
      <c r="W176" s="59"/>
    </row>
    <row r="177" spans="1:36" x14ac:dyDescent="0.2">
      <c r="A177" s="239"/>
      <c r="B177" s="239"/>
      <c r="C177" s="239"/>
      <c r="D177" s="117"/>
      <c r="E177" s="270" t="s">
        <v>904</v>
      </c>
      <c r="F177" s="271"/>
      <c r="G177" s="247"/>
      <c r="H177" s="239"/>
      <c r="I177" s="710"/>
      <c r="J177" s="710"/>
      <c r="K177" s="710"/>
      <c r="L177" s="710"/>
      <c r="M177" s="710"/>
      <c r="N177" s="272"/>
      <c r="O177" s="272"/>
      <c r="P177" s="273"/>
      <c r="Q177" s="37"/>
      <c r="R177" s="52"/>
      <c r="S177" s="52"/>
      <c r="T177" s="37"/>
      <c r="U177" s="37"/>
      <c r="V177" s="59"/>
      <c r="W177" s="59"/>
      <c r="X177" s="416"/>
      <c r="Y177" s="416"/>
      <c r="Z177" s="416"/>
      <c r="AA177" s="416"/>
      <c r="AB177" s="416"/>
      <c r="AC177" s="416"/>
      <c r="AD177" s="416"/>
      <c r="AE177" s="416"/>
      <c r="AF177" s="416"/>
      <c r="AG177" s="416"/>
      <c r="AH177" s="416"/>
      <c r="AI177" s="416"/>
      <c r="AJ177" s="416"/>
    </row>
    <row r="178" spans="1:36" x14ac:dyDescent="0.2">
      <c r="A178" s="60"/>
      <c r="B178" s="60"/>
      <c r="C178" s="61">
        <v>27</v>
      </c>
      <c r="D178" s="62"/>
      <c r="E178" s="82"/>
      <c r="F178" s="274"/>
      <c r="G178" s="815" t="s">
        <v>905</v>
      </c>
      <c r="H178" s="816"/>
      <c r="I178" s="78"/>
      <c r="J178" s="701"/>
      <c r="K178" s="701"/>
      <c r="L178" s="815" t="s">
        <v>906</v>
      </c>
      <c r="M178" s="167"/>
      <c r="N178" s="253"/>
      <c r="O178" s="253"/>
      <c r="P178" s="254"/>
      <c r="Q178" s="37"/>
      <c r="R178" s="52"/>
      <c r="S178" s="52"/>
      <c r="T178" s="37"/>
      <c r="U178" s="37"/>
      <c r="V178" s="59"/>
      <c r="W178" s="59"/>
      <c r="X178" s="416"/>
      <c r="Y178" s="416"/>
      <c r="Z178" s="416"/>
      <c r="AA178" s="416"/>
      <c r="AB178" s="416"/>
      <c r="AC178" s="416"/>
      <c r="AD178" s="416"/>
      <c r="AE178" s="416"/>
      <c r="AF178" s="416"/>
      <c r="AG178" s="416"/>
      <c r="AH178" s="416"/>
      <c r="AI178" s="416"/>
      <c r="AJ178" s="416"/>
    </row>
    <row r="179" spans="1:36" x14ac:dyDescent="0.2">
      <c r="A179" s="60">
        <v>7250</v>
      </c>
      <c r="B179" s="60"/>
      <c r="C179" s="61"/>
      <c r="D179" s="62"/>
      <c r="E179" s="82"/>
      <c r="F179" s="274"/>
      <c r="G179" s="701"/>
      <c r="H179" s="702" t="s">
        <v>907</v>
      </c>
      <c r="I179" s="265" t="s">
        <v>893</v>
      </c>
      <c r="J179" s="701"/>
      <c r="K179" s="701"/>
      <c r="L179" s="815"/>
      <c r="M179" s="167"/>
      <c r="N179" s="255">
        <v>2.48</v>
      </c>
      <c r="O179" s="255">
        <v>2.85</v>
      </c>
      <c r="P179" s="254"/>
      <c r="Q179" s="37" t="s">
        <v>908</v>
      </c>
      <c r="R179" s="52"/>
      <c r="S179" s="52"/>
      <c r="T179" s="37"/>
      <c r="U179" s="37"/>
      <c r="V179" s="257">
        <f>3.49*1.07</f>
        <v>3.7343000000000006</v>
      </c>
      <c r="W179" s="266">
        <v>3.49</v>
      </c>
      <c r="X179" s="416"/>
      <c r="Y179" s="416"/>
      <c r="Z179" s="416"/>
      <c r="AA179" s="416"/>
      <c r="AB179" s="416"/>
      <c r="AC179" s="416"/>
      <c r="AD179" s="416"/>
      <c r="AE179" s="416"/>
      <c r="AF179" s="416"/>
      <c r="AG179" s="416"/>
      <c r="AH179" s="416"/>
      <c r="AI179" s="416"/>
      <c r="AJ179" s="416"/>
    </row>
    <row r="180" spans="1:36" x14ac:dyDescent="0.2">
      <c r="A180" s="60">
        <v>7260</v>
      </c>
      <c r="B180" s="60"/>
      <c r="C180" s="61"/>
      <c r="D180" s="62"/>
      <c r="E180" s="82"/>
      <c r="F180" s="274"/>
      <c r="G180" s="702"/>
      <c r="H180" s="702" t="s">
        <v>909</v>
      </c>
      <c r="I180" s="265" t="s">
        <v>893</v>
      </c>
      <c r="J180" s="701"/>
      <c r="K180" s="701"/>
      <c r="L180" s="815"/>
      <c r="M180" s="167"/>
      <c r="N180" s="255">
        <v>1.97</v>
      </c>
      <c r="O180" s="255">
        <v>2.2599999999999998</v>
      </c>
      <c r="P180" s="254"/>
      <c r="Q180" s="37" t="s">
        <v>908</v>
      </c>
      <c r="R180" s="52"/>
      <c r="S180" s="52"/>
      <c r="T180" s="37"/>
      <c r="U180" s="37"/>
      <c r="V180" s="264">
        <f>3.73*1.17</f>
        <v>4.3640999999999996</v>
      </c>
      <c r="W180" s="266">
        <f>3.49*1.17</f>
        <v>4.0833000000000004</v>
      </c>
      <c r="X180" s="416"/>
      <c r="Y180" s="416"/>
      <c r="Z180" s="416"/>
      <c r="AA180" s="416"/>
      <c r="AB180" s="416"/>
      <c r="AC180" s="416"/>
      <c r="AD180" s="416"/>
      <c r="AE180" s="416"/>
      <c r="AF180" s="416"/>
      <c r="AG180" s="416"/>
      <c r="AH180" s="416"/>
      <c r="AI180" s="416"/>
      <c r="AJ180" s="416" t="s">
        <v>910</v>
      </c>
    </row>
    <row r="181" spans="1:36" x14ac:dyDescent="0.2">
      <c r="A181" s="275"/>
      <c r="B181" s="275"/>
      <c r="C181" s="276"/>
      <c r="D181" s="277"/>
      <c r="E181" s="278"/>
      <c r="F181" s="279"/>
      <c r="G181" s="280"/>
      <c r="H181" s="262"/>
      <c r="I181" s="281"/>
      <c r="J181" s="38"/>
      <c r="K181" s="38"/>
      <c r="L181" s="38"/>
      <c r="M181" s="38"/>
      <c r="N181" s="282"/>
      <c r="O181" s="282"/>
      <c r="P181" s="67"/>
      <c r="Q181" s="37"/>
      <c r="R181" s="52"/>
      <c r="S181" s="52"/>
      <c r="T181" s="37"/>
      <c r="U181" s="37"/>
      <c r="V181" s="59"/>
      <c r="W181" s="59"/>
      <c r="X181" s="416"/>
      <c r="Y181" s="416"/>
      <c r="Z181" s="416"/>
      <c r="AA181" s="416"/>
      <c r="AB181" s="416"/>
      <c r="AC181" s="416"/>
      <c r="AD181" s="416"/>
      <c r="AE181" s="416"/>
      <c r="AF181" s="416"/>
      <c r="AG181" s="416"/>
      <c r="AH181" s="416"/>
      <c r="AI181" s="416"/>
      <c r="AJ181" s="416"/>
    </row>
    <row r="182" spans="1:36" x14ac:dyDescent="0.2">
      <c r="A182" s="283"/>
      <c r="B182" s="283"/>
      <c r="C182" s="284"/>
      <c r="D182" s="285"/>
      <c r="E182" s="286" t="s">
        <v>911</v>
      </c>
      <c r="F182" s="287"/>
      <c r="G182" s="288"/>
      <c r="H182" s="288"/>
      <c r="I182" s="289"/>
      <c r="J182" s="290"/>
      <c r="K182" s="290"/>
      <c r="L182" s="290"/>
      <c r="M182" s="290"/>
      <c r="N182" s="288"/>
      <c r="O182" s="288"/>
      <c r="P182" s="291"/>
      <c r="Q182" s="37"/>
      <c r="R182" s="52"/>
      <c r="S182" s="52"/>
      <c r="T182" s="37"/>
      <c r="U182" s="37"/>
      <c r="V182" s="59"/>
      <c r="W182" s="59"/>
      <c r="X182" s="416"/>
      <c r="Y182" s="416"/>
      <c r="Z182" s="416"/>
      <c r="AA182" s="416"/>
      <c r="AB182" s="416"/>
      <c r="AC182" s="416"/>
      <c r="AD182" s="416"/>
      <c r="AE182" s="416"/>
      <c r="AF182" s="416"/>
      <c r="AG182" s="416"/>
      <c r="AH182" s="416"/>
      <c r="AI182" s="416"/>
      <c r="AJ182" s="416"/>
    </row>
    <row r="183" spans="1:36" ht="15" x14ac:dyDescent="0.2">
      <c r="A183" s="292">
        <v>49</v>
      </c>
      <c r="B183" s="62">
        <v>32</v>
      </c>
      <c r="C183" s="61"/>
      <c r="D183" s="62" t="s">
        <v>542</v>
      </c>
      <c r="E183" s="63"/>
      <c r="F183" s="293"/>
      <c r="G183" s="293"/>
      <c r="H183" s="294" t="s">
        <v>912</v>
      </c>
      <c r="I183" s="295" t="s">
        <v>913</v>
      </c>
      <c r="J183" s="713"/>
      <c r="K183" s="713"/>
      <c r="L183" s="713"/>
      <c r="M183" s="296">
        <v>1.5</v>
      </c>
      <c r="N183" s="76"/>
      <c r="O183" s="76"/>
      <c r="P183" s="297"/>
      <c r="Q183" s="37"/>
      <c r="R183" s="52"/>
      <c r="S183" s="52"/>
      <c r="T183" s="37"/>
      <c r="U183" s="37"/>
      <c r="V183" s="298">
        <f>293047/100000</f>
        <v>2.9304700000000001</v>
      </c>
      <c r="W183" s="299">
        <f>307500/100000</f>
        <v>3.0750000000000002</v>
      </c>
      <c r="X183" s="416"/>
      <c r="Y183" s="416"/>
      <c r="Z183" s="416"/>
      <c r="AA183" s="416"/>
      <c r="AB183" s="416"/>
      <c r="AC183" s="416"/>
      <c r="AD183" s="416"/>
      <c r="AE183" s="416"/>
      <c r="AF183" s="416"/>
      <c r="AG183" s="416"/>
      <c r="AH183" s="416"/>
      <c r="AI183" s="416"/>
      <c r="AJ183" s="416"/>
    </row>
    <row r="184" spans="1:36" x14ac:dyDescent="0.2">
      <c r="A184" s="292">
        <v>15</v>
      </c>
      <c r="B184" s="292">
        <v>11</v>
      </c>
      <c r="C184" s="61"/>
      <c r="D184" s="62" t="s">
        <v>542</v>
      </c>
      <c r="E184" s="63"/>
      <c r="F184" s="64"/>
      <c r="G184" s="42"/>
      <c r="H184" s="294" t="s">
        <v>914</v>
      </c>
      <c r="I184" s="295" t="s">
        <v>915</v>
      </c>
      <c r="J184" s="713"/>
      <c r="K184" s="713"/>
      <c r="L184" s="713"/>
      <c r="M184" s="296">
        <v>2000</v>
      </c>
      <c r="N184" s="76"/>
      <c r="O184" s="76">
        <v>7640</v>
      </c>
      <c r="P184" s="297"/>
      <c r="Q184" s="37"/>
      <c r="R184" s="52"/>
      <c r="S184" s="52"/>
      <c r="T184" s="37"/>
      <c r="U184" s="37"/>
      <c r="V184" s="59">
        <v>9486.73</v>
      </c>
      <c r="W184" s="59">
        <v>9968.6</v>
      </c>
      <c r="X184" s="416"/>
      <c r="Y184" s="416"/>
      <c r="Z184" s="416"/>
      <c r="AA184" s="416"/>
      <c r="AB184" s="416"/>
      <c r="AC184" s="416"/>
      <c r="AD184" s="416"/>
      <c r="AE184" s="416"/>
      <c r="AF184" s="416"/>
      <c r="AG184" s="416"/>
      <c r="AH184" s="416"/>
      <c r="AI184" s="416"/>
      <c r="AJ184" s="416"/>
    </row>
    <row r="185" spans="1:36" x14ac:dyDescent="0.2">
      <c r="A185" s="292">
        <v>3</v>
      </c>
      <c r="B185" s="292">
        <v>2</v>
      </c>
      <c r="C185" s="61"/>
      <c r="D185" s="62"/>
      <c r="E185" s="63"/>
      <c r="F185" s="64"/>
      <c r="G185" s="42"/>
      <c r="H185" s="294" t="s">
        <v>916</v>
      </c>
      <c r="I185" s="295" t="s">
        <v>662</v>
      </c>
      <c r="J185" s="713"/>
      <c r="K185" s="713"/>
      <c r="L185" s="713"/>
      <c r="M185" s="296">
        <v>12.39</v>
      </c>
      <c r="N185" s="76"/>
      <c r="O185" s="76">
        <v>17.09</v>
      </c>
      <c r="P185" s="297"/>
      <c r="Q185" s="37"/>
      <c r="R185" s="52"/>
      <c r="S185" s="52"/>
      <c r="T185" s="37"/>
      <c r="U185" s="37"/>
      <c r="V185" s="59">
        <v>27</v>
      </c>
      <c r="W185" s="59">
        <v>29</v>
      </c>
      <c r="X185" s="416"/>
      <c r="Y185" s="416"/>
      <c r="Z185" s="416"/>
      <c r="AA185" s="416"/>
      <c r="AB185" s="416"/>
      <c r="AC185" s="416"/>
      <c r="AD185" s="416"/>
      <c r="AE185" s="416"/>
      <c r="AF185" s="416"/>
      <c r="AG185" s="416"/>
      <c r="AH185" s="416"/>
      <c r="AI185" s="416"/>
      <c r="AJ185" s="416"/>
    </row>
    <row r="186" spans="1:36" x14ac:dyDescent="0.2">
      <c r="A186" s="292">
        <v>12</v>
      </c>
      <c r="B186" s="292">
        <v>8</v>
      </c>
      <c r="C186" s="61"/>
      <c r="D186" s="62"/>
      <c r="E186" s="63"/>
      <c r="F186" s="64"/>
      <c r="G186" s="42"/>
      <c r="H186" s="294" t="s">
        <v>917</v>
      </c>
      <c r="I186" s="295" t="s">
        <v>680</v>
      </c>
      <c r="J186" s="713"/>
      <c r="K186" s="713"/>
      <c r="L186" s="713"/>
      <c r="M186" s="296">
        <v>180</v>
      </c>
      <c r="N186" s="76"/>
      <c r="O186" s="76">
        <v>327</v>
      </c>
      <c r="P186" s="297"/>
      <c r="Q186" s="37"/>
      <c r="R186" s="52"/>
      <c r="S186" s="52"/>
      <c r="T186" s="37"/>
      <c r="U186" s="37"/>
      <c r="V186" s="59">
        <v>701.45</v>
      </c>
      <c r="W186" s="108">
        <v>692.29</v>
      </c>
      <c r="X186" s="416"/>
      <c r="Y186" s="416"/>
      <c r="Z186" s="416"/>
      <c r="AA186" s="416"/>
      <c r="AB186" s="416"/>
      <c r="AC186" s="416"/>
      <c r="AD186" s="416"/>
      <c r="AE186" s="416"/>
      <c r="AF186" s="416"/>
      <c r="AG186" s="416"/>
      <c r="AH186" s="416"/>
      <c r="AI186" s="416"/>
      <c r="AJ186" s="416"/>
    </row>
    <row r="187" spans="1:36" ht="25.5" x14ac:dyDescent="0.2">
      <c r="A187" s="292"/>
      <c r="B187" s="292"/>
      <c r="C187" s="61"/>
      <c r="D187" s="62"/>
      <c r="E187" s="63"/>
      <c r="F187" s="64"/>
      <c r="G187" s="42"/>
      <c r="H187" s="294" t="s">
        <v>918</v>
      </c>
      <c r="I187" s="295"/>
      <c r="J187" s="713"/>
      <c r="K187" s="713"/>
      <c r="L187" s="713"/>
      <c r="M187" s="296"/>
      <c r="N187" s="76"/>
      <c r="O187" s="76">
        <v>1407.05</v>
      </c>
      <c r="P187" s="297"/>
      <c r="Q187" s="37"/>
      <c r="R187" s="52"/>
      <c r="S187" s="52"/>
      <c r="T187" s="37"/>
      <c r="U187" s="37"/>
      <c r="V187" s="298">
        <v>1760.98</v>
      </c>
      <c r="W187" s="299">
        <v>1786.27</v>
      </c>
      <c r="X187" s="416"/>
      <c r="Y187" s="416"/>
      <c r="Z187" s="416"/>
      <c r="AA187" s="416"/>
      <c r="AB187" s="416"/>
      <c r="AC187" s="416"/>
      <c r="AD187" s="416"/>
      <c r="AE187" s="416"/>
      <c r="AF187" s="416"/>
      <c r="AG187" s="416"/>
      <c r="AH187" s="416"/>
      <c r="AI187" s="416"/>
      <c r="AJ187" s="416"/>
    </row>
  </sheetData>
  <mergeCells count="51">
    <mergeCell ref="G178:H178"/>
    <mergeCell ref="L178:L180"/>
    <mergeCell ref="G171:H171"/>
    <mergeCell ref="G172:H172"/>
    <mergeCell ref="G173:H173"/>
    <mergeCell ref="G174:H174"/>
    <mergeCell ref="G175:H175"/>
    <mergeCell ref="G176:H176"/>
    <mergeCell ref="G170:H170"/>
    <mergeCell ref="J124:J125"/>
    <mergeCell ref="G131:H131"/>
    <mergeCell ref="J132:J135"/>
    <mergeCell ref="J138:J146"/>
    <mergeCell ref="G149:H149"/>
    <mergeCell ref="G153:H153"/>
    <mergeCell ref="G155:H155"/>
    <mergeCell ref="G168:H168"/>
    <mergeCell ref="G169:H169"/>
    <mergeCell ref="L138:L146"/>
    <mergeCell ref="E147:N147"/>
    <mergeCell ref="J82:J89"/>
    <mergeCell ref="L82:L89"/>
    <mergeCell ref="J91:J98"/>
    <mergeCell ref="L91:L98"/>
    <mergeCell ref="G112:H112"/>
    <mergeCell ref="L116:L118"/>
    <mergeCell ref="G81:H81"/>
    <mergeCell ref="A57:C57"/>
    <mergeCell ref="E57:N57"/>
    <mergeCell ref="J59:J62"/>
    <mergeCell ref="K59:K62"/>
    <mergeCell ref="L59:L62"/>
    <mergeCell ref="G63:H63"/>
    <mergeCell ref="J64:J65"/>
    <mergeCell ref="K64:K65"/>
    <mergeCell ref="L64:L65"/>
    <mergeCell ref="A80:C80"/>
    <mergeCell ref="E80:N80"/>
    <mergeCell ref="H52:H53"/>
    <mergeCell ref="A2:C2"/>
    <mergeCell ref="E2:N2"/>
    <mergeCell ref="J4:J5"/>
    <mergeCell ref="L4:L5"/>
    <mergeCell ref="M4:M5"/>
    <mergeCell ref="L13:L25"/>
    <mergeCell ref="M14:M15"/>
    <mergeCell ref="A29:C29"/>
    <mergeCell ref="E29:N29"/>
    <mergeCell ref="L31:L34"/>
    <mergeCell ref="L38:L39"/>
    <mergeCell ref="L46:L4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Claimed Costs</vt:lpstr>
      <vt:lpstr>Deleading Claim Detail</vt:lpstr>
      <vt:lpstr>Deleading Ref Sheet</vt:lpstr>
      <vt:lpstr>Rent Roll</vt:lpstr>
      <vt:lpstr>Co-op Condo Unit Table</vt:lpstr>
      <vt:lpstr>80% AMI Ref</vt:lpstr>
      <vt:lpstr>CRC DRAFT- 7.9.2020</vt:lpstr>
      <vt:lpstr>CLAIM</vt:lpstr>
      <vt:lpstr>CLAIM_DETCD</vt:lpstr>
      <vt:lpstr>CLAIM_DTL</vt:lpstr>
      <vt:lpstr>'Claimed Costs'!Print_Area</vt:lpstr>
      <vt:lpstr>'Rent Roll'!Print_Area</vt:lpstr>
      <vt:lpstr>'Claimed Costs'!Print_Titles</vt:lpstr>
    </vt:vector>
  </TitlesOfParts>
  <Manager/>
  <Company>HPD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Rock Miller</dc:creator>
  <cp:keywords/>
  <dc:description/>
  <cp:lastModifiedBy>Leonard, John  (HPD)</cp:lastModifiedBy>
  <cp:revision/>
  <dcterms:created xsi:type="dcterms:W3CDTF">2006-03-03T00:09:38Z</dcterms:created>
  <dcterms:modified xsi:type="dcterms:W3CDTF">2025-09-09T18:02:16Z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ba276f-0474-4e48-a2bc-69b0eb22318c_Enabled">
    <vt:lpwstr>true</vt:lpwstr>
  </property>
  <property fmtid="{D5CDD505-2E9C-101B-9397-08002B2CF9AE}" pid="3" name="MSIP_Label_ebba276f-0474-4e48-a2bc-69b0eb22318c_SetDate">
    <vt:lpwstr>2024-12-03T15:00:38Z</vt:lpwstr>
  </property>
  <property fmtid="{D5CDD505-2E9C-101B-9397-08002B2CF9AE}" pid="4" name="MSIP_Label_ebba276f-0474-4e48-a2bc-69b0eb22318c_Method">
    <vt:lpwstr>Standard</vt:lpwstr>
  </property>
  <property fmtid="{D5CDD505-2E9C-101B-9397-08002B2CF9AE}" pid="5" name="MSIP_Label_ebba276f-0474-4e48-a2bc-69b0eb22318c_Name">
    <vt:lpwstr>Non-Restricted-Main</vt:lpwstr>
  </property>
  <property fmtid="{D5CDD505-2E9C-101B-9397-08002B2CF9AE}" pid="6" name="MSIP_Label_ebba276f-0474-4e48-a2bc-69b0eb22318c_SiteId">
    <vt:lpwstr>32f56fc7-5f81-4e22-a95b-15da66513bef</vt:lpwstr>
  </property>
  <property fmtid="{D5CDD505-2E9C-101B-9397-08002B2CF9AE}" pid="7" name="MSIP_Label_ebba276f-0474-4e48-a2bc-69b0eb22318c_ActionId">
    <vt:lpwstr>64bba168-f90a-4e97-a172-741a0f45037d</vt:lpwstr>
  </property>
  <property fmtid="{D5CDD505-2E9C-101B-9397-08002B2CF9AE}" pid="8" name="MSIP_Label_ebba276f-0474-4e48-a2bc-69b0eb22318c_ContentBits">
    <vt:lpwstr>0</vt:lpwstr>
  </property>
</Properties>
</file>